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4030" windowHeight="11505" tabRatio="950" activeTab="0"/>
  </bookViews>
  <sheets>
    <sheet name="GC" sheetId="1" r:id="rId1"/>
    <sheet name="Contents" sheetId="2" r:id="rId2"/>
    <sheet name="IRR_Examples_SC" sheetId="3" r:id="rId3"/>
    <sheet name="IRR_BA" sheetId="4" r:id="rId4"/>
    <sheet name="XIRR_BA" sheetId="5" r:id="rId5"/>
    <sheet name="IRR_vs._XIRR_BA" sheetId="6" r:id="rId6"/>
    <sheet name="Care_With_Dates_BA" sheetId="7" r:id="rId7"/>
    <sheet name="Value_Not_Right_BA" sheetId="8" r:id="rId8"/>
    <sheet name="Positive_Numbers_BA" sheetId="9" r:id="rId9"/>
    <sheet name="Considering_Order_BA" sheetId="10" r:id="rId10"/>
    <sheet name="Unreliable_XNPV_Check_BA" sheetId="11" r:id="rId11"/>
    <sheet name="XIRR_Examples_BA" sheetId="12" r:id="rId12"/>
    <sheet name="XIRR_Examples_Neg Start_BA" sheetId="13" r:id="rId13"/>
  </sheets>
  <externalReferences>
    <externalReference r:id="rId16"/>
  </externalReferences>
  <definedNames>
    <definedName name="Days_in_Year">'Unreliable_XNPV_Check_BA'!$G$11</definedName>
    <definedName name="HL_Home">'Contents'!$B$1</definedName>
    <definedName name="Leap_Year_Divisor">'Unreliable_XNPV_Check_BA'!$G$13</definedName>
    <definedName name="Model_Name">'GC'!$C$10</definedName>
    <definedName name="Months_in_Year">'XIRR_Examples_BA'!$E$11</definedName>
    <definedName name="Number_of_characters_in_year">'Care_With_Dates_BA'!$G$24</definedName>
    <definedName name="_xlnm.Print_Area" localSheetId="6">'Care_With_Dates_BA'!$B$1:$L$42</definedName>
    <definedName name="_xlnm.Print_Area" localSheetId="9">'Considering_Order_BA'!$B$1:$M$55</definedName>
    <definedName name="_xlnm.Print_Area" localSheetId="1">'Contents'!$B$1:$Q$20</definedName>
    <definedName name="_xlnm.Print_Area" localSheetId="0">'GC'!$B$1:$P$30</definedName>
    <definedName name="_xlnm.Print_Area" localSheetId="3">'IRR_BA'!$B$1:$K$37</definedName>
    <definedName name="_xlnm.Print_Area" localSheetId="2">'IRR_Examples_SC'!$B$1:$P$30</definedName>
    <definedName name="_xlnm.Print_Area" localSheetId="5">'IRR_vs._XIRR_BA'!$B$1:$R$29</definedName>
    <definedName name="_xlnm.Print_Area" localSheetId="8">'Positive_Numbers_BA'!$B$1:$S$42</definedName>
    <definedName name="_xlnm.Print_Area" localSheetId="10">'Unreliable_XNPV_Check_BA'!$B$1:$M$63</definedName>
    <definedName name="_xlnm.Print_Area" localSheetId="7">'Value_Not_Right_BA'!$B$1:$S$70</definedName>
    <definedName name="_xlnm.Print_Area" localSheetId="4">'XIRR_BA'!$B$1:$K$41</definedName>
    <definedName name="_xlnm.Print_Area" localSheetId="11">'XIRR_Examples_BA'!$B$1:$V$59</definedName>
    <definedName name="_xlnm.Print_Area" localSheetId="12">'XIRR_Examples_Neg Start_BA'!$B$1:$Y$41</definedName>
    <definedName name="_xlnm.Print_Titles" localSheetId="6">'Care_With_Dates_BA'!$1:$6</definedName>
    <definedName name="_xlnm.Print_Titles" localSheetId="9">'Considering_Order_BA'!$1:$6</definedName>
    <definedName name="_xlnm.Print_Titles" localSheetId="1">'Contents'!$1:$7</definedName>
    <definedName name="_xlnm.Print_Titles" localSheetId="3">'IRR_BA'!$1:$6</definedName>
    <definedName name="_xlnm.Print_Titles" localSheetId="5">'IRR_vs._XIRR_BA'!$1:$6</definedName>
    <definedName name="_xlnm.Print_Titles" localSheetId="8">'Positive_Numbers_BA'!$1:$6</definedName>
    <definedName name="_xlnm.Print_Titles" localSheetId="10">'Unreliable_XNPV_Check_BA'!$1:$6</definedName>
    <definedName name="_xlnm.Print_Titles" localSheetId="7">'Value_Not_Right_BA'!$1:$6</definedName>
    <definedName name="_xlnm.Print_Titles" localSheetId="4">'XIRR_BA'!$1:$6</definedName>
    <definedName name="_xlnm.Print_Titles" localSheetId="11">'XIRR_Examples_BA'!$1:$13</definedName>
    <definedName name="_xlnm.Print_Titles" localSheetId="12">'XIRR_Examples_Neg Start_BA'!$1:$13</definedName>
    <definedName name="Quarters_in_Year">'Unreliable_XNPV_Check_BA'!$G$12</definedName>
    <definedName name="Rate_Used" localSheetId="12">'XIRR_Examples_Neg Start_BA'!#REF!</definedName>
    <definedName name="Rate_Used">'XIRR_Examples_BA'!$E$46</definedName>
    <definedName name="Very_small_neg_no">'Positive_Numbers_BA'!$G$12</definedName>
  </definedNames>
  <calcPr fullCalcOnLoad="1"/>
</workbook>
</file>

<file path=xl/sharedStrings.xml><?xml version="1.0" encoding="utf-8"?>
<sst xmlns="http://schemas.openxmlformats.org/spreadsheetml/2006/main" count="236" uniqueCount="136">
  <si>
    <t>Primary Developer:  Liam Bastick</t>
  </si>
  <si>
    <t>General Cover Notes:</t>
  </si>
  <si>
    <t>GC</t>
  </si>
  <si>
    <t>Go to Table of Contents</t>
  </si>
  <si>
    <t>Table of Contents</t>
  </si>
  <si>
    <t>Go to Cover Sheet</t>
  </si>
  <si>
    <t>é</t>
  </si>
  <si>
    <t>Section &amp; Sheet Titles</t>
  </si>
  <si>
    <t>C</t>
  </si>
  <si>
    <t>ç</t>
  </si>
  <si>
    <t>è</t>
  </si>
  <si>
    <t>Section Cover Notes:</t>
  </si>
  <si>
    <t>SC</t>
  </si>
  <si>
    <t>Section 1.</t>
  </si>
  <si>
    <t xml:space="preserve">  Page  </t>
  </si>
  <si>
    <t>Total Pages:</t>
  </si>
  <si>
    <t>Any queries, please e-mail:</t>
  </si>
  <si>
    <t>Website:</t>
  </si>
  <si>
    <t>For past articles visit:</t>
  </si>
  <si>
    <t>www.sumproduct.com</t>
  </si>
  <si>
    <t>BA</t>
  </si>
  <si>
    <t>a.</t>
  </si>
  <si>
    <t>b.</t>
  </si>
  <si>
    <t>Internal Rates of Return Examples</t>
  </si>
  <si>
    <t>This highlights some of the pitfalls of calculating the Internal Rate of Return (IRR) in Excel.</t>
  </si>
  <si>
    <t>IRR Examples</t>
  </si>
  <si>
    <t>XIRR</t>
  </si>
  <si>
    <t>IRR</t>
  </si>
  <si>
    <t>Days in Year</t>
  </si>
  <si>
    <t>Quarters in Year</t>
  </si>
  <si>
    <t>Duration</t>
  </si>
  <si>
    <t>Leap Year Divisor</t>
  </si>
  <si>
    <t>Example</t>
  </si>
  <si>
    <t>Accuracy Factor</t>
  </si>
  <si>
    <t>Long Hand Calculation</t>
  </si>
  <si>
    <t>Quarterly Rate</t>
  </si>
  <si>
    <t>Time</t>
  </si>
  <si>
    <t>Cashflows</t>
  </si>
  <si>
    <t>Discount Factor</t>
  </si>
  <si>
    <t>NPV</t>
  </si>
  <si>
    <t>XNPV is not a reliable check</t>
  </si>
  <si>
    <t>BUT</t>
  </si>
  <si>
    <t>Having a value doesn't make it right</t>
  </si>
  <si>
    <t>Dates</t>
  </si>
  <si>
    <t>Using IRR value (hard coded) as the guess</t>
  </si>
  <si>
    <t>Using IRR value (dynamic reference) as the guess</t>
  </si>
  <si>
    <t>Using an approximation to the IRR value as the guess</t>
  </si>
  <si>
    <t>Rate</t>
  </si>
  <si>
    <t>Chart Data</t>
  </si>
  <si>
    <t>Very small neg no</t>
  </si>
  <si>
    <t>Using the small negative number seems to work</t>
  </si>
  <si>
    <t>Order makes a difference</t>
  </si>
  <si>
    <t>Rearranging the order (1)</t>
  </si>
  <si>
    <t>Rearranging the order (2)</t>
  </si>
  <si>
    <t>Care with dates</t>
  </si>
  <si>
    <t>Date</t>
  </si>
  <si>
    <t>Amt</t>
  </si>
  <si>
    <t>6/30/2012</t>
  </si>
  <si>
    <t>9/30/2012</t>
  </si>
  <si>
    <t>12/31/2012</t>
  </si>
  <si>
    <t xml:space="preserve">  $1,000 </t>
  </si>
  <si>
    <t>3/3/2012</t>
  </si>
  <si>
    <t>c.</t>
  </si>
  <si>
    <t>d.</t>
  </si>
  <si>
    <t>e.</t>
  </si>
  <si>
    <t>Assumptions</t>
  </si>
  <si>
    <t>Number of characters in year</t>
  </si>
  <si>
    <t>Revised Dates</t>
  </si>
  <si>
    <t>Dates Corrected</t>
  </si>
  <si>
    <t>Always check DATEVALUE won't work first</t>
  </si>
  <si>
    <t>DATEVALUE test</t>
  </si>
  <si>
    <t>XIRR Examples</t>
  </si>
  <si>
    <t>When Excel Functions Fall Apart</t>
  </si>
  <si>
    <t>Falling Back on GOAL SEEK</t>
  </si>
  <si>
    <t>Goal Seek</t>
  </si>
  <si>
    <t>Months in Year</t>
  </si>
  <si>
    <t>Scenario</t>
  </si>
  <si>
    <t>Method</t>
  </si>
  <si>
    <t>Days Since Start</t>
  </si>
  <si>
    <t>Rate Used</t>
  </si>
  <si>
    <t>Present Value</t>
  </si>
  <si>
    <t>Net Present Value</t>
  </si>
  <si>
    <t>Previously</t>
  </si>
  <si>
    <t>f.</t>
  </si>
  <si>
    <t>g.</t>
  </si>
  <si>
    <t>Cashflows starting with a positive inflow</t>
  </si>
  <si>
    <t>Returns the internal rate of return for a schedule of cash flows that is not necessarily periodic. To calculate the internal rate of return for a series of periodic cash flows, use the IRR function.</t>
  </si>
  <si>
    <t>Syntax</t>
  </si>
  <si>
    <r>
      <t>XIRR</t>
    </r>
    <r>
      <rPr>
        <sz val="9.6"/>
        <color indexed="23"/>
        <rFont val="Arial"/>
        <family val="2"/>
      </rPr>
      <t>(</t>
    </r>
    <r>
      <rPr>
        <b/>
        <sz val="9.6"/>
        <color indexed="23"/>
        <rFont val="Arial"/>
        <family val="2"/>
      </rPr>
      <t>values</t>
    </r>
    <r>
      <rPr>
        <sz val="9.6"/>
        <color indexed="23"/>
        <rFont val="Arial"/>
        <family val="2"/>
      </rPr>
      <t>,</t>
    </r>
    <r>
      <rPr>
        <b/>
        <sz val="9.6"/>
        <color indexed="23"/>
        <rFont val="Arial"/>
        <family val="2"/>
      </rPr>
      <t>dates</t>
    </r>
    <r>
      <rPr>
        <sz val="9.6"/>
        <color indexed="23"/>
        <rFont val="Arial"/>
        <family val="2"/>
      </rPr>
      <t>,guess)</t>
    </r>
  </si>
  <si>
    <r>
      <t>Values</t>
    </r>
    <r>
      <rPr>
        <sz val="9.6"/>
        <color indexed="23"/>
        <rFont val="Arial"/>
        <family val="2"/>
      </rPr>
      <t>     is a series of cash flows that corresponds to a schedule of payments in dates. The first payment is optional and corresponds to a cost or payment that occurs at the beginning of the investment. If the first value is a cost or payment, it must be a negative value. All succeeding payments are discounted based on a 365-day year. The series of values must contain at least one positive and one negative value.</t>
    </r>
  </si>
  <si>
    <t>Remarks</t>
  </si>
  <si>
    <t>Numbers in dates are truncated to integers.</t>
  </si>
  <si>
    <t>XIRR expects at least one positive cash flow and one negative cash flow; otherwise, XIRR returns the #NUM! error value.</t>
  </si>
  <si>
    <t>If any number in dates is not a valid date, XIRR returns the #VALUE! error value.</t>
  </si>
  <si>
    <t>If any number in dates precedes the starting date, XIRR returns the #NUM! error value.</t>
  </si>
  <si>
    <t>If values and dates contain a different number of values, XIRR returns the #NUM! error value.</t>
  </si>
  <si>
    <t>In most cases you do not need to provide guess for the XIRR calculation. If omitted, guess is assumed to be 0.1 (10 percent).</t>
  </si>
  <si>
    <t>XIRR is closely related to XNPV, the net present value function. The rate of return calculated by XIRR is the interest rate corresponding to XNPV = 0.</t>
  </si>
  <si>
    <t>Excel uses an iterative technique for calculating XIRR. Using a changing rate (starting with guess), XIRR cycles through the calculation until the result is accurate within 0.000001 percent. If XIRR can't find a result that works after 100 tries, the #NUM! error value is returned. The rate is changed until:</t>
  </si>
  <si>
    <t>where:</t>
  </si>
  <si>
    <r>
      <rPr>
        <b/>
        <sz val="9.6"/>
        <color indexed="23"/>
        <rFont val="Arial"/>
        <family val="2"/>
      </rPr>
      <t>d</t>
    </r>
    <r>
      <rPr>
        <b/>
        <vertAlign val="subscript"/>
        <sz val="9.6"/>
        <color indexed="23"/>
        <rFont val="Arial"/>
        <family val="2"/>
      </rPr>
      <t>i</t>
    </r>
    <r>
      <rPr>
        <vertAlign val="subscript"/>
        <sz val="9.6"/>
        <color indexed="23"/>
        <rFont val="Arial"/>
        <family val="2"/>
      </rPr>
      <t xml:space="preserve"> </t>
    </r>
    <r>
      <rPr>
        <sz val="9.6"/>
        <color indexed="23"/>
        <rFont val="Arial"/>
        <family val="2"/>
      </rPr>
      <t>= the ith, or last, payment date.</t>
    </r>
  </si>
  <si>
    <r>
      <rPr>
        <b/>
        <sz val="9.6"/>
        <color indexed="23"/>
        <rFont val="Arial"/>
        <family val="2"/>
      </rPr>
      <t>d</t>
    </r>
    <r>
      <rPr>
        <b/>
        <vertAlign val="subscript"/>
        <sz val="9.6"/>
        <color indexed="23"/>
        <rFont val="Arial"/>
        <family val="2"/>
      </rPr>
      <t>1</t>
    </r>
    <r>
      <rPr>
        <sz val="9.6"/>
        <color indexed="23"/>
        <rFont val="Arial"/>
        <family val="2"/>
      </rPr>
      <t xml:space="preserve"> = the first payment date (Time 0).</t>
    </r>
  </si>
  <si>
    <r>
      <rPr>
        <b/>
        <sz val="9.6"/>
        <color indexed="23"/>
        <rFont val="Arial"/>
        <family val="2"/>
      </rPr>
      <t>P</t>
    </r>
    <r>
      <rPr>
        <b/>
        <vertAlign val="subscript"/>
        <sz val="9.6"/>
        <color indexed="23"/>
        <rFont val="Arial"/>
        <family val="2"/>
      </rPr>
      <t xml:space="preserve">i </t>
    </r>
    <r>
      <rPr>
        <sz val="9.6"/>
        <color indexed="23"/>
        <rFont val="Arial"/>
        <family val="2"/>
      </rPr>
      <t>= the ith, or last, payment.</t>
    </r>
  </si>
  <si>
    <r>
      <t xml:space="preserve">Dates     </t>
    </r>
    <r>
      <rPr>
        <sz val="9.6"/>
        <color indexed="23"/>
        <rFont val="Arial"/>
        <family val="2"/>
      </rPr>
      <t xml:space="preserve">is a schedule of payment dates that corresponds to the cash flow payments. The first payment date indicates the beginning of the schedule of payments. All other dates must be later than this date, but they may occur in any order. Dates should be entered by using the DATE function, or as results of other formulas or functions. </t>
    </r>
  </si>
  <si>
    <r>
      <t>Guess</t>
    </r>
    <r>
      <rPr>
        <sz val="9.6"/>
        <color indexed="23"/>
        <rFont val="Arial"/>
        <family val="2"/>
      </rPr>
      <t>     is a number that you guess, which is close to the result of XIRR.</t>
    </r>
  </si>
  <si>
    <t>From Excel Help</t>
  </si>
  <si>
    <t>Returns the internal rate of return for a series of cash flows represented by the numbers in values. These cash flows do not have to be even, as they would be for an annuity. However, the cash flows must occur at regular intervals, such as monthly or annually. The internal rate of return is the interest rate received for an investment consisting of payments (negative values) and income (positive values) that occur at regular periods.</t>
  </si>
  <si>
    <r>
      <t>IRR</t>
    </r>
    <r>
      <rPr>
        <sz val="9.6"/>
        <color indexed="23"/>
        <rFont val="Arial"/>
        <family val="2"/>
      </rPr>
      <t>(</t>
    </r>
    <r>
      <rPr>
        <b/>
        <sz val="9.6"/>
        <color indexed="23"/>
        <rFont val="Arial"/>
        <family val="2"/>
      </rPr>
      <t>values</t>
    </r>
    <r>
      <rPr>
        <sz val="9.6"/>
        <color indexed="23"/>
        <rFont val="Arial"/>
        <family val="2"/>
      </rPr>
      <t>,guess)</t>
    </r>
  </si>
  <si>
    <r>
      <t>Values</t>
    </r>
    <r>
      <rPr>
        <sz val="9.6"/>
        <color indexed="23"/>
        <rFont val="Arial"/>
        <family val="2"/>
      </rPr>
      <t>     is an array or a reference to cells that contain numbers for which you want to calculate the internal rate of return.</t>
    </r>
  </si>
  <si>
    <t>Values must contain at least one positive value and one negative value to calculate the internal rate of return.</t>
  </si>
  <si>
    <t>IRR uses the order of values to interpret the order of cash flows. Be sure to enter your payment and income values in the sequence you want.</t>
  </si>
  <si>
    <t>If an array or reference argument contains text, logical values, or empty cells, those values are ignored.</t>
  </si>
  <si>
    <t>Microsoft Excel uses an iterative technique for calculating IRR. Starting with guess, IRR cycles through the calculation until the result is accurate within 0.00001 percent. If IRR can't find a result that works after 20 tries, the #NUM! error value is returned.</t>
  </si>
  <si>
    <t>In most cases you do not need to provide guess for the IRR calculation. If guess is omitted, it is assumed to be 0.1 (10 percent).</t>
  </si>
  <si>
    <t>If IRR gives the #NUM! error value, or if the result is not close to what you expected, try again with a different value for guess.</t>
  </si>
  <si>
    <t>IRR is closely related to NPV, the net present value function. The rate of return calculated by IRR is the interest rate corresponding to a 0 (zero) net present value. The following formula demonstrates how NPV and IRR are related:</t>
  </si>
  <si>
    <r>
      <t>Guess</t>
    </r>
    <r>
      <rPr>
        <sz val="9.6"/>
        <color indexed="23"/>
        <rFont val="Arial"/>
        <family val="2"/>
      </rPr>
      <t>     is a number that you guess, which is close to the result of IRR.</t>
    </r>
  </si>
  <si>
    <r>
      <rPr>
        <sz val="10"/>
        <color indexed="10"/>
        <rFont val="Courier New"/>
        <family val="3"/>
      </rPr>
      <t>NPV(IRR(B1:B6),B1:B6)</t>
    </r>
    <r>
      <rPr>
        <sz val="9.6"/>
        <color indexed="23"/>
        <rFont val="Arial"/>
        <family val="2"/>
      </rPr>
      <t xml:space="preserve"> equals 3.60E-08 [Within the accuracy of the IRR calculation, the value 3.60E-08 is effectively 0 (zero).]</t>
    </r>
  </si>
  <si>
    <t>h.</t>
  </si>
  <si>
    <t>i.</t>
  </si>
  <si>
    <t>XIRR Examples with a negative first number</t>
  </si>
  <si>
    <t>IRR vs. XIRR</t>
  </si>
  <si>
    <t>IRR Illustration</t>
  </si>
  <si>
    <t>Period 1</t>
  </si>
  <si>
    <t>Period 2</t>
  </si>
  <si>
    <t>Period 3</t>
  </si>
  <si>
    <t>Period 4</t>
  </si>
  <si>
    <t>Period 5</t>
  </si>
  <si>
    <t>Period 6</t>
  </si>
  <si>
    <t>Period 7</t>
  </si>
  <si>
    <t>Period 8</t>
  </si>
  <si>
    <t>XIRR Illustration</t>
  </si>
  <si>
    <t>j.</t>
  </si>
  <si>
    <t>liam.bastick@sumproduct.com</t>
  </si>
  <si>
    <t>SumProduct Pty Ltd</t>
  </si>
  <si>
    <t>Issues with the Internal Rate of Return (IRR).</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</si>
</sst>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d/m/yy"/>
    <numFmt numFmtId="166" formatCode="_(#,##0.0_);\(#,##0.0\);_(&quot;-&quot;_)"/>
    <numFmt numFmtId="167" formatCode="_(#,##0.0%_);\(#,##0.0%\);_(&quot;-&quot;_)"/>
    <numFmt numFmtId="168" formatCode="_(#,##0.0\x_);\(#,##0.0\x\);_(&quot;-&quot;_)"/>
    <numFmt numFmtId="169" formatCode="_(&quot;$&quot;#,##0.0_);\(&quot;$&quot;#,##0.0\);_(&quot;-&quot;_)"/>
    <numFmt numFmtId="170" formatCode="_)d/m/yy_)"/>
    <numFmt numFmtId="171" formatCode="_(#,##0_);\(#,##0\);_(&quot;-&quot;_)"/>
    <numFmt numFmtId="172" formatCode="0."/>
    <numFmt numFmtId="173" formatCode="#,##0."/>
    <numFmt numFmtId="174" formatCode="0.0%"/>
    <numFmt numFmtId="175" formatCode="_(&quot;$&quot;#,##0.00_);\(&quot;$&quot;#,##0.00\);_(&quot;-&quot;_)"/>
    <numFmt numFmtId="176" formatCode="_(&quot;$&quot;#,##0.000_);\(&quot;$&quot;#,##0.000\);_(&quot;-&quot;_)"/>
    <numFmt numFmtId="177" formatCode="_(#,##0.00_);\(#,##0.00\);_(&quot;-&quot;_)"/>
    <numFmt numFmtId="178" formatCode="_(&quot;$&quot;#,##0_);\(&quot;$&quot;#,##0\);_(&quot;-&quot;_)"/>
    <numFmt numFmtId="179" formatCode="0.000"/>
    <numFmt numFmtId="180" formatCode="0.0000"/>
    <numFmt numFmtId="181" formatCode="0.00000"/>
    <numFmt numFmtId="182" formatCode="_(&quot;$&quot;#,##0.0000_);\(&quot;$&quot;#,##0.0000\);_(&quot;-&quot;_)"/>
    <numFmt numFmtId="183" formatCode=";;;"/>
    <numFmt numFmtId="184" formatCode="#,##0.0,;\(#,##0.0,\);\-"/>
    <numFmt numFmtId="185" formatCode="[$-C09]dddd\,\ d\ mmmm\ yyyy"/>
    <numFmt numFmtId="186" formatCode="[$-C09]dd\-mmm\-yy;@"/>
    <numFmt numFmtId="187" formatCode="&quot;Yes&quot;;&quot;Yes&quot;;&quot;No&quot;"/>
    <numFmt numFmtId="188" formatCode="&quot;True&quot;;&quot;True&quot;;&quot;False&quot;"/>
    <numFmt numFmtId="189" formatCode="&quot;On&quot;;&quot;On&quot;;&quot;Off&quot;"/>
    <numFmt numFmtId="190" formatCode="[$€-2]\ #,##0.00_);[Red]\([$€-2]\ #,##0.00\)"/>
    <numFmt numFmtId="191" formatCode="_(#,##0,_);\(#,##0,\);_(&quot;-&quot;_)"/>
    <numFmt numFmtId="192" formatCode="0.000%"/>
    <numFmt numFmtId="193" formatCode="0.0000%"/>
    <numFmt numFmtId="194" formatCode="0.00000%"/>
    <numFmt numFmtId="195" formatCode="0.000000%"/>
    <numFmt numFmtId="196" formatCode="0.000000"/>
    <numFmt numFmtId="197" formatCode="d/mm/yyyy\ h:mm\ AM/PM"/>
    <numFmt numFmtId="198" formatCode="_(#,##0.000_);\(#,##0.000\);_(&quot;-&quot;_)"/>
    <numFmt numFmtId="199" formatCode="_(#,##0.0000_);\(#,##0.0000\);_(&quot;-&quot;_)"/>
    <numFmt numFmtId="200" formatCode="_(#,##0.00000_);\(#,##0.00000\);_(&quot;-&quot;_)"/>
    <numFmt numFmtId="201" formatCode="_(#,##0.000000_);\(#,##0.000000\);_(&quot;-&quot;_)"/>
    <numFmt numFmtId="202" formatCode="0.000000000000000"/>
    <numFmt numFmtId="203" formatCode="[$-409]h:mm:ss\ AM/PM"/>
    <numFmt numFmtId="204" formatCode="[$-C09]d\-mmm\-yy;@"/>
    <numFmt numFmtId="205" formatCode="&quot;Cashflow - Scenario &quot;#,##0"/>
    <numFmt numFmtId="206" formatCode="&quot;$&quot;#,##0.000"/>
    <numFmt numFmtId="207" formatCode="_(&quot;$&quot;#,##0.00000_);\(&quot;$&quot;#,##0.00000\);_(&quot;-&quot;_)"/>
    <numFmt numFmtId="208" formatCode="_(&quot;$&quot;#,##0.000000_);\(&quot;$&quot;#,##0.000000\);_(&quot;-&quot;_)"/>
    <numFmt numFmtId="209" formatCode="0.00%;\-0.00%;\-"/>
    <numFmt numFmtId="210" formatCode="0.00000000000000%"/>
    <numFmt numFmtId="211" formatCode="_(#,##0.00%_);\(#,##0.00%\);_(&quot;-&quot;_)"/>
  </numFmts>
  <fonts count="81">
    <font>
      <sz val="8"/>
      <name val="Arial"/>
      <family val="0"/>
    </font>
    <font>
      <b/>
      <sz val="14"/>
      <name val="Arial"/>
      <family val="2"/>
    </font>
    <font>
      <b/>
      <sz val="13"/>
      <name val="Arial"/>
      <family val="2"/>
    </font>
    <font>
      <b/>
      <sz val="12"/>
      <name val="Arial"/>
      <family val="2"/>
    </font>
    <font>
      <b/>
      <sz val="10"/>
      <name val="Arial"/>
      <family val="2"/>
    </font>
    <font>
      <b/>
      <sz val="9"/>
      <name val="Arial"/>
      <family val="2"/>
    </font>
    <font>
      <b/>
      <sz val="8"/>
      <name val="Arial"/>
      <family val="2"/>
    </font>
    <font>
      <b/>
      <u val="single"/>
      <sz val="8"/>
      <color indexed="56"/>
      <name val="Arial"/>
      <family val="2"/>
    </font>
    <font>
      <b/>
      <sz val="10"/>
      <color indexed="56"/>
      <name val="Wingdings"/>
      <family val="0"/>
    </font>
    <font>
      <b/>
      <u val="single"/>
      <sz val="9.5"/>
      <color indexed="56"/>
      <name val="Arial"/>
      <family val="2"/>
    </font>
    <font>
      <b/>
      <u val="single"/>
      <sz val="9"/>
      <color indexed="56"/>
      <name val="Arial"/>
      <family val="2"/>
    </font>
    <font>
      <u val="single"/>
      <sz val="8"/>
      <color indexed="56"/>
      <name val="Arial"/>
      <family val="2"/>
    </font>
    <font>
      <u val="single"/>
      <sz val="7.5"/>
      <color indexed="56"/>
      <name val="Arial"/>
      <family val="2"/>
    </font>
    <font>
      <b/>
      <sz val="14"/>
      <color indexed="8"/>
      <name val="Tahoma"/>
      <family val="2"/>
    </font>
    <font>
      <b/>
      <sz val="13"/>
      <color indexed="8"/>
      <name val="Tahoma"/>
      <family val="2"/>
    </font>
    <font>
      <b/>
      <sz val="12"/>
      <color indexed="8"/>
      <name val="Tahoma"/>
      <family val="2"/>
    </font>
    <font>
      <b/>
      <sz val="10"/>
      <color indexed="8"/>
      <name val="Tahoma"/>
      <family val="2"/>
    </font>
    <font>
      <b/>
      <sz val="9"/>
      <color indexed="8"/>
      <name val="Tahoma"/>
      <family val="2"/>
    </font>
    <font>
      <b/>
      <sz val="8"/>
      <color indexed="8"/>
      <name val="Tahoma"/>
      <family val="2"/>
    </font>
    <font>
      <sz val="8"/>
      <color indexed="8"/>
      <name val="Tahoma"/>
      <family val="2"/>
    </font>
    <font>
      <b/>
      <u val="single"/>
      <sz val="8"/>
      <color indexed="56"/>
      <name val="Tahoma"/>
      <family val="2"/>
    </font>
    <font>
      <b/>
      <sz val="12"/>
      <color indexed="60"/>
      <name val="Arial"/>
      <family val="2"/>
    </font>
    <font>
      <b/>
      <sz val="14"/>
      <color indexed="60"/>
      <name val="Arial"/>
      <family val="2"/>
    </font>
    <font>
      <b/>
      <sz val="8"/>
      <color indexed="60"/>
      <name val="Arial"/>
      <family val="2"/>
    </font>
    <font>
      <sz val="8"/>
      <color indexed="60"/>
      <name val="Arial"/>
      <family val="2"/>
    </font>
    <font>
      <sz val="8"/>
      <color indexed="9"/>
      <name val="Arial"/>
      <family val="2"/>
    </font>
    <font>
      <u val="single"/>
      <sz val="8"/>
      <color indexed="12"/>
      <name val="Arial"/>
      <family val="2"/>
    </font>
    <font>
      <b/>
      <sz val="10"/>
      <color indexed="60"/>
      <name val="Arial"/>
      <family val="2"/>
    </font>
    <font>
      <b/>
      <sz val="13"/>
      <color indexed="60"/>
      <name val="Arial"/>
      <family val="2"/>
    </font>
    <font>
      <b/>
      <sz val="9.5"/>
      <color indexed="56"/>
      <name val="Arial"/>
      <family val="2"/>
    </font>
    <font>
      <b/>
      <sz val="9"/>
      <color indexed="60"/>
      <name val="Arial"/>
      <family val="2"/>
    </font>
    <font>
      <sz val="8"/>
      <color indexed="56"/>
      <name val="Arial"/>
      <family val="2"/>
    </font>
    <font>
      <sz val="8"/>
      <color indexed="18"/>
      <name val="Arial"/>
      <family val="2"/>
    </font>
    <font>
      <b/>
      <sz val="8"/>
      <color indexed="59"/>
      <name val="Arial"/>
      <family val="2"/>
    </font>
    <font>
      <sz val="8"/>
      <color indexed="59"/>
      <name val="Arial"/>
      <family val="2"/>
    </font>
    <font>
      <b/>
      <sz val="20"/>
      <name val="Arial"/>
      <family val="2"/>
    </font>
    <font>
      <i/>
      <sz val="8"/>
      <color indexed="60"/>
      <name val="Arial"/>
      <family val="2"/>
    </font>
    <font>
      <i/>
      <sz val="8"/>
      <name val="Arial"/>
      <family val="2"/>
    </font>
    <font>
      <sz val="9.6"/>
      <color indexed="23"/>
      <name val="Arial"/>
      <family val="2"/>
    </font>
    <font>
      <b/>
      <sz val="9.6"/>
      <color indexed="23"/>
      <name val="Arial"/>
      <family val="2"/>
    </font>
    <font>
      <b/>
      <vertAlign val="subscript"/>
      <sz val="9.6"/>
      <color indexed="23"/>
      <name val="Arial"/>
      <family val="2"/>
    </font>
    <font>
      <vertAlign val="subscript"/>
      <sz val="9.6"/>
      <color indexed="23"/>
      <name val="Arial"/>
      <family val="2"/>
    </font>
    <font>
      <sz val="10"/>
      <color indexed="10"/>
      <name val="Courier New"/>
      <family val="3"/>
    </font>
    <font>
      <sz val="8"/>
      <color indexed="8"/>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2"/>
    </font>
    <font>
      <sz val="8"/>
      <color indexed="17"/>
      <name val="Arial"/>
      <family val="2"/>
    </font>
    <font>
      <sz val="8"/>
      <color indexed="54"/>
      <name val="Arial"/>
      <family val="2"/>
    </font>
    <font>
      <sz val="8"/>
      <color indexed="52"/>
      <name val="Arial"/>
      <family val="2"/>
    </font>
    <font>
      <sz val="8"/>
      <color indexed="19"/>
      <name val="Arial"/>
      <family val="2"/>
    </font>
    <font>
      <b/>
      <sz val="8"/>
      <color indexed="8"/>
      <name val="Arial"/>
      <family val="2"/>
    </font>
    <font>
      <b/>
      <sz val="18"/>
      <color indexed="26"/>
      <name val="Cambria"/>
      <family val="2"/>
    </font>
    <font>
      <sz val="8"/>
      <color indexed="10"/>
      <name val="Arial"/>
      <family val="2"/>
    </font>
    <font>
      <b/>
      <sz val="8"/>
      <color indexed="10"/>
      <name val="Arial"/>
      <family val="2"/>
    </font>
    <font>
      <sz val="7.2"/>
      <color indexed="23"/>
      <name val="Courier New"/>
      <family val="3"/>
    </font>
    <font>
      <b/>
      <u val="single"/>
      <sz val="8"/>
      <color indexed="8"/>
      <name val="Tahoma"/>
      <family val="0"/>
    </font>
    <font>
      <sz val="10"/>
      <color indexed="10"/>
      <name val="Calibri"/>
      <family val="0"/>
    </font>
    <font>
      <b/>
      <sz val="10"/>
      <color indexed="10"/>
      <name val="Calibri"/>
      <family val="0"/>
    </font>
    <font>
      <b/>
      <sz val="18"/>
      <color indexed="10"/>
      <name val="Calibri"/>
      <family val="0"/>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2"/>
    </font>
    <font>
      <sz val="8"/>
      <color rgb="FF006100"/>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8"/>
      <color rgb="FFFF0000"/>
      <name val="Arial"/>
      <family val="2"/>
    </font>
    <font>
      <sz val="9.6"/>
      <color rgb="FF454545"/>
      <name val="Arial"/>
      <family val="2"/>
    </font>
    <font>
      <b/>
      <sz val="9.6"/>
      <color rgb="FF454545"/>
      <name val="Arial"/>
      <family val="2"/>
    </font>
    <font>
      <sz val="7.2"/>
      <color rgb="FF454545"/>
      <name val="Courier New"/>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tint="-0.24997000396251678"/>
        <bgColor indexed="64"/>
      </patternFill>
    </fill>
  </fills>
  <borders count="13">
    <border>
      <left/>
      <right/>
      <top/>
      <bottom/>
      <diagonal/>
    </border>
    <border>
      <left style="medium">
        <color indexed="18"/>
      </left>
      <right style="medium">
        <color indexed="18"/>
      </right>
      <top style="medium">
        <color indexed="18"/>
      </top>
      <bottom style="medium">
        <color indexed="1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169" fontId="0" fillId="0" borderId="1">
      <alignment horizontal="center" vertical="center"/>
      <protection locked="0"/>
    </xf>
    <xf numFmtId="165" fontId="0" fillId="0" borderId="1">
      <alignment horizontal="center" vertical="center"/>
      <protection locked="0"/>
    </xf>
    <xf numFmtId="168" fontId="0" fillId="0" borderId="1">
      <alignment horizontal="center" vertical="center"/>
      <protection locked="0"/>
    </xf>
    <xf numFmtId="166" fontId="0" fillId="0" borderId="1">
      <alignment horizontal="center" vertical="center"/>
      <protection locked="0"/>
    </xf>
    <xf numFmtId="167" fontId="0" fillId="0" borderId="1">
      <alignment horizontal="center" vertical="center"/>
      <protection locked="0"/>
    </xf>
    <xf numFmtId="164" fontId="0" fillId="0" borderId="1">
      <alignment horizontal="center" vertical="center"/>
      <protection locked="0"/>
    </xf>
    <xf numFmtId="0" fontId="0" fillId="0" borderId="1">
      <alignment vertical="center"/>
      <protection locked="0"/>
    </xf>
    <xf numFmtId="169" fontId="0" fillId="0" borderId="1">
      <alignment horizontal="right" vertical="center"/>
      <protection locked="0"/>
    </xf>
    <xf numFmtId="170" fontId="0" fillId="0" borderId="1">
      <alignment horizontal="right" vertical="center"/>
      <protection locked="0"/>
    </xf>
    <xf numFmtId="168" fontId="0" fillId="0" borderId="1">
      <alignment horizontal="right" vertical="center"/>
      <protection locked="0"/>
    </xf>
    <xf numFmtId="166" fontId="0" fillId="0" borderId="1">
      <alignment horizontal="right" vertical="center"/>
      <protection locked="0"/>
    </xf>
    <xf numFmtId="167" fontId="0" fillId="0" borderId="1">
      <alignment horizontal="right" vertical="center"/>
      <protection locked="0"/>
    </xf>
    <xf numFmtId="164" fontId="0" fillId="0" borderId="1">
      <alignment horizontal="right" vertical="center"/>
      <protection locked="0"/>
    </xf>
    <xf numFmtId="0" fontId="64" fillId="26" borderId="0" applyNumberFormat="0" applyBorder="0" applyAlignment="0" applyProtection="0"/>
    <xf numFmtId="0" fontId="65" fillId="27" borderId="2" applyNumberFormat="0" applyAlignment="0" applyProtection="0"/>
    <xf numFmtId="0" fontId="0" fillId="0" borderId="0" applyNumberFormat="0" applyFont="0" applyFill="0" applyBorder="0">
      <alignment horizontal="center" vertical="center"/>
      <protection locked="0"/>
    </xf>
    <xf numFmtId="169" fontId="0" fillId="0" borderId="0" applyFill="0" applyBorder="0">
      <alignment horizontal="center" vertical="center"/>
      <protection/>
    </xf>
    <xf numFmtId="165" fontId="0" fillId="0" borderId="0" applyFill="0" applyBorder="0">
      <alignment horizontal="center" vertical="center"/>
      <protection/>
    </xf>
    <xf numFmtId="168" fontId="0" fillId="0" borderId="0" applyFill="0" applyBorder="0">
      <alignment horizontal="center" vertical="center"/>
      <protection/>
    </xf>
    <xf numFmtId="166" fontId="0" fillId="0" borderId="0" applyFill="0" applyBorder="0">
      <alignment horizontal="center" vertical="center"/>
      <protection/>
    </xf>
    <xf numFmtId="167" fontId="0" fillId="0" borderId="0" applyFill="0" applyBorder="0">
      <alignment horizontal="center" vertical="center"/>
      <protection/>
    </xf>
    <xf numFmtId="164" fontId="0" fillId="0" borderId="0" applyFill="0" applyBorder="0">
      <alignment horizontal="center" vertical="center"/>
      <protection/>
    </xf>
    <xf numFmtId="0" fontId="66"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4" fillId="0" borderId="0" applyFill="0" applyBorder="0">
      <alignment vertical="center"/>
      <protection/>
    </xf>
    <xf numFmtId="0" fontId="5" fillId="0" borderId="0" applyFill="0" applyBorder="0">
      <alignment vertical="center"/>
      <protection/>
    </xf>
    <xf numFmtId="0" fontId="6" fillId="0" borderId="0" applyFill="0" applyBorder="0">
      <alignment vertical="center"/>
      <protection/>
    </xf>
    <xf numFmtId="0" fontId="0" fillId="0" borderId="0" applyFill="0" applyBorder="0">
      <alignment vertical="center"/>
      <protection/>
    </xf>
    <xf numFmtId="0" fontId="26" fillId="0" borderId="0" applyNumberFormat="0" applyFill="0" applyBorder="0" applyAlignment="0" applyProtection="0"/>
    <xf numFmtId="0" fontId="8" fillId="0" borderId="0" applyFill="0" applyBorder="0">
      <alignment horizontal="center" vertical="center"/>
      <protection locked="0"/>
    </xf>
    <xf numFmtId="0" fontId="8" fillId="0" borderId="0" applyFill="0" applyBorder="0">
      <alignment horizontal="center" vertical="center"/>
      <protection locked="0"/>
    </xf>
    <xf numFmtId="0" fontId="7" fillId="0" borderId="0" applyFill="0" applyBorder="0">
      <alignment horizontal="left" vertical="center"/>
      <protection locked="0"/>
    </xf>
    <xf numFmtId="0" fontId="70" fillId="30" borderId="2" applyNumberFormat="0" applyAlignment="0" applyProtection="0"/>
    <xf numFmtId="0" fontId="71" fillId="0" borderId="4" applyNumberFormat="0" applyFill="0" applyAlignment="0" applyProtection="0"/>
    <xf numFmtId="0" fontId="6" fillId="0" borderId="5" applyFill="0">
      <alignment horizontal="center" vertical="center"/>
      <protection/>
    </xf>
    <xf numFmtId="0" fontId="0" fillId="0" borderId="5" applyFill="0">
      <alignment horizontal="center" vertical="center"/>
      <protection/>
    </xf>
    <xf numFmtId="171" fontId="0" fillId="0" borderId="5" applyFill="0">
      <alignment horizontal="center" vertical="center"/>
      <protection/>
    </xf>
    <xf numFmtId="0" fontId="3" fillId="0" borderId="0" applyFill="0" applyBorder="0">
      <alignment horizontal="left" vertical="center"/>
      <protection/>
    </xf>
    <xf numFmtId="0" fontId="72" fillId="31" borderId="0" applyNumberFormat="0" applyBorder="0" applyAlignment="0" applyProtection="0"/>
    <xf numFmtId="0" fontId="0" fillId="32" borderId="6" applyNumberFormat="0" applyFont="0" applyAlignment="0" applyProtection="0"/>
    <xf numFmtId="0" fontId="73" fillId="27" borderId="7" applyNumberFormat="0" applyAlignment="0" applyProtection="0"/>
    <xf numFmtId="9" fontId="0" fillId="0" borderId="0" applyFont="0" applyFill="0" applyBorder="0" applyAlignment="0" applyProtection="0"/>
    <xf numFmtId="0" fontId="6" fillId="0" borderId="0" applyFill="0" applyBorder="0">
      <alignment vertical="center"/>
      <protection/>
    </xf>
    <xf numFmtId="169" fontId="19" fillId="0" borderId="0" applyFill="0" applyBorder="0">
      <alignment horizontal="right" vertical="center"/>
      <protection/>
    </xf>
    <xf numFmtId="170" fontId="19" fillId="0" borderId="0" applyFill="0" applyBorder="0">
      <alignment horizontal="right" vertical="center"/>
      <protection/>
    </xf>
    <xf numFmtId="0" fontId="16" fillId="0" borderId="0" applyFill="0" applyBorder="0">
      <alignmen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8" fillId="0" borderId="0" applyFill="0" applyBorder="0">
      <alignment horizontal="center" vertical="center"/>
      <protection locked="0"/>
    </xf>
    <xf numFmtId="0" fontId="8" fillId="0" borderId="0" applyFill="0" applyBorder="0">
      <alignment horizontal="center" vertical="center"/>
      <protection locked="0"/>
    </xf>
    <xf numFmtId="0" fontId="20" fillId="0" borderId="0" applyFill="0" applyBorder="0">
      <alignment horizontal="left" vertical="center"/>
      <protection locked="0"/>
    </xf>
    <xf numFmtId="0" fontId="15" fillId="0" borderId="0" applyFill="0" applyBorder="0">
      <alignment horizontal="left" vertical="center"/>
      <protection/>
    </xf>
    <xf numFmtId="168" fontId="19" fillId="0" borderId="0" applyFill="0" applyBorder="0">
      <alignment horizontal="right" vertical="center"/>
      <protection/>
    </xf>
    <xf numFmtId="0" fontId="19" fillId="0" borderId="0" applyFill="0" applyBorder="0">
      <alignment vertical="center"/>
      <protection/>
    </xf>
    <xf numFmtId="166" fontId="19" fillId="0" borderId="0" applyFill="0" applyBorder="0">
      <alignment horizontal="right" vertical="center"/>
      <protection/>
    </xf>
    <xf numFmtId="167" fontId="19" fillId="0" borderId="0" applyFill="0" applyBorder="0">
      <alignment horizontal="right" vertical="center"/>
      <protection/>
    </xf>
    <xf numFmtId="0" fontId="18" fillId="0" borderId="0" applyFill="0" applyBorder="0">
      <alignment vertical="center"/>
      <protection/>
    </xf>
    <xf numFmtId="166" fontId="14" fillId="0" borderId="0" applyFill="0" applyBorder="0">
      <alignment horizontal="left" vertical="center"/>
      <protection/>
    </xf>
    <xf numFmtId="0" fontId="13" fillId="0" borderId="0" applyFill="0" applyBorder="0">
      <alignment horizontal="left" vertical="center"/>
      <protection/>
    </xf>
    <xf numFmtId="164" fontId="19" fillId="0" borderId="0" applyFill="0" applyBorder="0">
      <alignment horizontal="right" vertical="center"/>
      <protection/>
    </xf>
    <xf numFmtId="169" fontId="0" fillId="0" borderId="0" applyFill="0" applyBorder="0">
      <alignment horizontal="right" vertical="center"/>
      <protection/>
    </xf>
    <xf numFmtId="170" fontId="0" fillId="0" borderId="0" applyFill="0" applyBorder="0">
      <alignment horizontal="right" vertical="center"/>
      <protection/>
    </xf>
    <xf numFmtId="168" fontId="0" fillId="0" borderId="0" applyFill="0" applyBorder="0">
      <alignment horizontal="right" vertical="center"/>
      <protection/>
    </xf>
    <xf numFmtId="166" fontId="0" fillId="0" borderId="0" applyFill="0" applyBorder="0">
      <alignment horizontal="right" vertical="center"/>
      <protection/>
    </xf>
    <xf numFmtId="167" fontId="0" fillId="0" borderId="0" applyFill="0" applyBorder="0">
      <alignment horizontal="right" vertical="center"/>
      <protection/>
    </xf>
    <xf numFmtId="164" fontId="0" fillId="0" borderId="0" applyFill="0" applyBorder="0">
      <alignment horizontal="right" vertical="center"/>
      <protection/>
    </xf>
    <xf numFmtId="0" fontId="2" fillId="0" borderId="0" applyFill="0" applyBorder="0">
      <alignment horizontal="left" vertical="center"/>
      <protection/>
    </xf>
    <xf numFmtId="0" fontId="1" fillId="0" borderId="0" applyFill="0" applyBorder="0">
      <alignment horizontal="left" vertical="center"/>
      <protection/>
    </xf>
    <xf numFmtId="0" fontId="74" fillId="0" borderId="0" applyNumberFormat="0" applyFill="0" applyBorder="0" applyAlignment="0" applyProtection="0"/>
    <xf numFmtId="0" fontId="9" fillId="0" borderId="0" applyFill="0" applyBorder="0">
      <alignment horizontal="left" vertical="center"/>
      <protection locked="0"/>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xf numFmtId="0" fontId="75" fillId="0" borderId="8" applyNumberFormat="0" applyFill="0" applyAlignment="0" applyProtection="0"/>
    <xf numFmtId="0" fontId="76" fillId="0" borderId="0" applyNumberFormat="0" applyFill="0" applyBorder="0" applyAlignment="0" applyProtection="0"/>
  </cellStyleXfs>
  <cellXfs count="110">
    <xf numFmtId="0" fontId="0" fillId="0" borderId="0" xfId="0" applyAlignment="1">
      <alignment/>
    </xf>
    <xf numFmtId="0" fontId="21" fillId="0" borderId="0" xfId="82" applyFont="1">
      <alignment horizontal="left" vertical="center"/>
      <protection/>
    </xf>
    <xf numFmtId="0" fontId="22" fillId="0" borderId="0" xfId="113" applyFont="1">
      <alignment horizontal="left" vertical="center"/>
      <protection/>
    </xf>
    <xf numFmtId="0" fontId="23" fillId="0" borderId="0" xfId="71" applyFont="1" applyAlignment="1">
      <alignment horizontal="left" vertical="center"/>
      <protection/>
    </xf>
    <xf numFmtId="0" fontId="24" fillId="0" borderId="0" xfId="72" applyFont="1" applyAlignment="1">
      <alignment horizontal="left" vertical="center"/>
      <protection/>
    </xf>
    <xf numFmtId="0" fontId="3" fillId="0" borderId="0" xfId="82" applyFont="1">
      <alignment horizontal="left" vertical="center"/>
      <protection/>
    </xf>
    <xf numFmtId="0" fontId="25" fillId="0" borderId="0" xfId="72" applyFont="1" applyAlignment="1" applyProtection="1">
      <alignment horizontal="left" vertical="center"/>
      <protection locked="0"/>
    </xf>
    <xf numFmtId="0" fontId="0" fillId="0" borderId="0" xfId="0" applyAlignment="1" applyProtection="1">
      <alignment/>
      <protection locked="0"/>
    </xf>
    <xf numFmtId="0" fontId="22" fillId="0" borderId="0" xfId="113" applyFont="1" applyProtection="1">
      <alignment horizontal="left" vertical="center"/>
      <protection locked="0"/>
    </xf>
    <xf numFmtId="0" fontId="8" fillId="0" borderId="0" xfId="74" applyAlignment="1">
      <alignment horizontal="right" vertical="center"/>
      <protection locked="0"/>
    </xf>
    <xf numFmtId="0" fontId="8" fillId="0" borderId="0" xfId="74" applyAlignment="1">
      <alignment horizontal="left" vertical="center"/>
      <protection locked="0"/>
    </xf>
    <xf numFmtId="0" fontId="0" fillId="33" borderId="0" xfId="0" applyFill="1" applyAlignment="1">
      <alignment/>
    </xf>
    <xf numFmtId="0" fontId="3" fillId="33" borderId="0" xfId="82" applyFont="1" applyFill="1">
      <alignment horizontal="left" vertical="center"/>
      <protection/>
    </xf>
    <xf numFmtId="0" fontId="22" fillId="33" borderId="0" xfId="113" applyFont="1" applyFill="1">
      <alignment horizontal="left" vertical="center"/>
      <protection/>
    </xf>
    <xf numFmtId="0" fontId="0" fillId="33" borderId="0" xfId="0" applyFill="1" applyAlignment="1" applyProtection="1">
      <alignment/>
      <protection locked="0"/>
    </xf>
    <xf numFmtId="0" fontId="8" fillId="33" borderId="0" xfId="74" applyFill="1">
      <alignment horizontal="center" vertical="center"/>
      <protection locked="0"/>
    </xf>
    <xf numFmtId="0" fontId="8" fillId="33" borderId="0" xfId="74" applyFill="1" applyAlignment="1">
      <alignment horizontal="right" vertical="center"/>
      <protection locked="0"/>
    </xf>
    <xf numFmtId="0" fontId="8" fillId="33" borderId="0" xfId="74" applyFill="1" applyAlignment="1">
      <alignment horizontal="left" vertical="center"/>
      <protection locked="0"/>
    </xf>
    <xf numFmtId="0" fontId="0" fillId="33" borderId="0" xfId="0" applyFill="1" applyAlignment="1">
      <alignment horizontal="left"/>
    </xf>
    <xf numFmtId="0" fontId="28" fillId="0" borderId="0" xfId="112" applyFont="1">
      <alignment horizontal="left" vertical="center"/>
      <protection/>
    </xf>
    <xf numFmtId="0" fontId="0" fillId="0" borderId="9" xfId="0" applyBorder="1" applyAlignment="1">
      <alignment/>
    </xf>
    <xf numFmtId="0" fontId="8" fillId="0" borderId="0" xfId="74" applyBorder="1">
      <alignment horizontal="center" vertical="center"/>
      <protection locked="0"/>
    </xf>
    <xf numFmtId="0" fontId="0" fillId="0" borderId="0" xfId="0" applyBorder="1" applyAlignment="1">
      <alignment/>
    </xf>
    <xf numFmtId="0" fontId="27" fillId="0" borderId="9" xfId="69" applyFont="1" applyBorder="1" applyAlignment="1">
      <alignment horizontal="left" vertical="center"/>
      <protection/>
    </xf>
    <xf numFmtId="0" fontId="27" fillId="0" borderId="9" xfId="69" applyFont="1" applyBorder="1" applyAlignment="1">
      <alignment horizontal="center" vertical="center"/>
      <protection/>
    </xf>
    <xf numFmtId="0" fontId="30" fillId="0" borderId="0" xfId="70" applyFont="1" applyAlignment="1">
      <alignment horizontal="left" vertical="center"/>
      <protection/>
    </xf>
    <xf numFmtId="0" fontId="4" fillId="33" borderId="0" xfId="69" applyFont="1" applyFill="1">
      <alignment vertical="center"/>
      <protection/>
    </xf>
    <xf numFmtId="171" fontId="24" fillId="0" borderId="1" xfId="49" applyNumberFormat="1" applyFont="1">
      <alignment horizontal="right" vertical="center"/>
      <protection locked="0"/>
    </xf>
    <xf numFmtId="178" fontId="24" fillId="0" borderId="1" xfId="46" applyNumberFormat="1" applyFont="1">
      <alignment horizontal="right" vertical="center"/>
      <protection locked="0"/>
    </xf>
    <xf numFmtId="171" fontId="29" fillId="0" borderId="0" xfId="115" applyNumberFormat="1" applyFont="1" applyAlignment="1" quotePrefix="1">
      <alignment horizontal="center" vertical="center"/>
      <protection locked="0"/>
    </xf>
    <xf numFmtId="171" fontId="0" fillId="0" borderId="0" xfId="0" applyNumberFormat="1" applyAlignment="1">
      <alignment/>
    </xf>
    <xf numFmtId="171" fontId="31" fillId="0" borderId="0" xfId="117" applyNumberFormat="1" applyFont="1" applyAlignment="1">
      <alignment horizontal="center" vertical="center"/>
      <protection locked="0"/>
    </xf>
    <xf numFmtId="0" fontId="32" fillId="33" borderId="0" xfId="72" applyFont="1" applyFill="1" applyAlignment="1" applyProtection="1">
      <alignment horizontal="left" vertical="center"/>
      <protection locked="0"/>
    </xf>
    <xf numFmtId="195" fontId="0" fillId="33" borderId="0" xfId="86" applyNumberFormat="1" applyFont="1" applyFill="1" applyAlignment="1">
      <alignment/>
    </xf>
    <xf numFmtId="196" fontId="0" fillId="33" borderId="0" xfId="0" applyNumberFormat="1" applyFill="1" applyAlignment="1">
      <alignment/>
    </xf>
    <xf numFmtId="197" fontId="0" fillId="33" borderId="0" xfId="0" applyNumberFormat="1" applyFill="1" applyAlignment="1">
      <alignment horizontal="left"/>
    </xf>
    <xf numFmtId="0" fontId="30" fillId="33" borderId="0" xfId="70" applyFont="1" applyFill="1">
      <alignment vertical="center"/>
      <protection/>
    </xf>
    <xf numFmtId="168" fontId="0" fillId="33" borderId="0" xfId="57" applyFont="1" applyFill="1">
      <alignment horizontal="center" vertical="center"/>
      <protection/>
    </xf>
    <xf numFmtId="0" fontId="33" fillId="33" borderId="0" xfId="71" applyFont="1" applyFill="1">
      <alignment vertical="center"/>
      <protection/>
    </xf>
    <xf numFmtId="195" fontId="0" fillId="33" borderId="0" xfId="0" applyNumberFormat="1" applyFill="1" applyAlignment="1">
      <alignment/>
    </xf>
    <xf numFmtId="0" fontId="6" fillId="33" borderId="0" xfId="0" applyFont="1" applyFill="1" applyAlignment="1">
      <alignment/>
    </xf>
    <xf numFmtId="171" fontId="0" fillId="33" borderId="0" xfId="109" applyNumberFormat="1" applyFont="1" applyFill="1">
      <alignment horizontal="right" vertical="center"/>
      <protection/>
    </xf>
    <xf numFmtId="0" fontId="34" fillId="33" borderId="0" xfId="71" applyFont="1" applyFill="1">
      <alignment vertical="center"/>
      <protection/>
    </xf>
    <xf numFmtId="179" fontId="0" fillId="33" borderId="9" xfId="0" applyNumberFormat="1" applyFill="1" applyBorder="1" applyAlignment="1">
      <alignment/>
    </xf>
    <xf numFmtId="201" fontId="0" fillId="33" borderId="10" xfId="0" applyNumberFormat="1" applyFill="1" applyBorder="1" applyAlignment="1">
      <alignment/>
    </xf>
    <xf numFmtId="165" fontId="0" fillId="33" borderId="0" xfId="56" applyFont="1" applyFill="1" applyAlignment="1">
      <alignment horizontal="left" vertical="center"/>
      <protection/>
    </xf>
    <xf numFmtId="165" fontId="0" fillId="33" borderId="0" xfId="56" applyNumberFormat="1" applyFont="1" applyFill="1" applyAlignment="1">
      <alignment horizontal="left" vertical="center"/>
      <protection/>
    </xf>
    <xf numFmtId="178" fontId="24" fillId="0" borderId="1" xfId="106" applyNumberFormat="1" applyFont="1" applyBorder="1">
      <alignment horizontal="right" vertical="center"/>
      <protection/>
    </xf>
    <xf numFmtId="10" fontId="0" fillId="33" borderId="0" xfId="86" applyNumberFormat="1" applyFont="1" applyFill="1" applyAlignment="1">
      <alignment/>
    </xf>
    <xf numFmtId="178" fontId="0" fillId="33" borderId="0" xfId="106" applyNumberFormat="1" applyFont="1" applyFill="1">
      <alignment horizontal="right" vertical="center"/>
      <protection/>
    </xf>
    <xf numFmtId="0" fontId="23" fillId="33" borderId="0" xfId="0" applyFont="1" applyFill="1" applyAlignment="1">
      <alignment/>
    </xf>
    <xf numFmtId="202" fontId="0" fillId="33" borderId="0" xfId="0" applyNumberFormat="1" applyFill="1" applyAlignment="1">
      <alignment/>
    </xf>
    <xf numFmtId="167" fontId="34" fillId="33" borderId="0" xfId="110" applyFont="1" applyFill="1" applyAlignment="1">
      <alignment horizontal="left" vertical="center"/>
      <protection/>
    </xf>
    <xf numFmtId="201" fontId="24" fillId="0" borderId="1" xfId="49" applyNumberFormat="1" applyFont="1">
      <alignment horizontal="right" vertical="center"/>
      <protection locked="0"/>
    </xf>
    <xf numFmtId="0" fontId="0" fillId="33" borderId="0" xfId="0" applyFill="1" applyAlignment="1">
      <alignment horizontal="right"/>
    </xf>
    <xf numFmtId="0" fontId="0" fillId="33" borderId="0" xfId="0" applyFill="1" applyAlignment="1" quotePrefix="1">
      <alignment/>
    </xf>
    <xf numFmtId="178" fontId="24" fillId="0" borderId="1" xfId="106" applyNumberFormat="1" applyFont="1" applyBorder="1" quotePrefix="1">
      <alignment horizontal="right" vertical="center"/>
      <protection/>
    </xf>
    <xf numFmtId="14" fontId="0" fillId="33" borderId="0" xfId="0" applyNumberFormat="1" applyFill="1" applyAlignment="1">
      <alignment/>
    </xf>
    <xf numFmtId="204" fontId="0" fillId="33" borderId="0" xfId="0" applyNumberFormat="1" applyFill="1" applyAlignment="1" quotePrefix="1">
      <alignment horizontal="left"/>
    </xf>
    <xf numFmtId="0" fontId="23" fillId="33" borderId="0" xfId="71" applyFont="1" applyFill="1">
      <alignment vertical="center"/>
      <protection/>
    </xf>
    <xf numFmtId="168" fontId="0" fillId="33" borderId="0" xfId="108" applyFont="1" applyFill="1">
      <alignment horizontal="right" vertical="center"/>
      <protection/>
    </xf>
    <xf numFmtId="0" fontId="0" fillId="33" borderId="0" xfId="72" applyFont="1" applyFill="1">
      <alignment vertical="center"/>
      <protection/>
    </xf>
    <xf numFmtId="0" fontId="24" fillId="33" borderId="0" xfId="72" applyFont="1" applyFill="1">
      <alignment vertical="center"/>
      <protection/>
    </xf>
    <xf numFmtId="205" fontId="23" fillId="33" borderId="0" xfId="72" applyNumberFormat="1" applyFont="1" applyFill="1">
      <alignment vertical="center"/>
      <protection/>
    </xf>
    <xf numFmtId="175" fontId="24" fillId="0" borderId="1" xfId="46" applyNumberFormat="1" applyFont="1">
      <alignment horizontal="right" vertical="center"/>
      <protection locked="0"/>
    </xf>
    <xf numFmtId="15" fontId="6" fillId="33" borderId="0" xfId="56" applyNumberFormat="1" applyFont="1" applyFill="1">
      <alignment horizontal="center" vertical="center"/>
      <protection/>
    </xf>
    <xf numFmtId="10" fontId="0" fillId="33" borderId="0" xfId="86" applyNumberFormat="1" applyFont="1" applyFill="1" applyAlignment="1">
      <alignment horizontal="center"/>
    </xf>
    <xf numFmtId="0" fontId="23" fillId="33" borderId="0" xfId="72" applyFont="1" applyFill="1">
      <alignment vertical="center"/>
      <protection/>
    </xf>
    <xf numFmtId="171" fontId="24" fillId="0" borderId="1" xfId="42" applyNumberFormat="1" applyFont="1">
      <alignment horizontal="center" vertical="center"/>
      <protection locked="0"/>
    </xf>
    <xf numFmtId="0" fontId="24" fillId="0" borderId="1" xfId="45" applyFont="1">
      <alignment vertical="center"/>
      <protection locked="0"/>
    </xf>
    <xf numFmtId="205" fontId="24" fillId="0" borderId="1" xfId="45" applyNumberFormat="1" applyFont="1" applyAlignment="1">
      <alignment horizontal="left" vertical="center"/>
      <protection locked="0"/>
    </xf>
    <xf numFmtId="183" fontId="0" fillId="33" borderId="0" xfId="0" applyNumberFormat="1" applyFill="1" applyAlignment="1">
      <alignment/>
    </xf>
    <xf numFmtId="171" fontId="0" fillId="33" borderId="0" xfId="58" applyNumberFormat="1" applyFont="1" applyFill="1">
      <alignment horizontal="center" vertical="center"/>
      <protection/>
    </xf>
    <xf numFmtId="175" fontId="0" fillId="33" borderId="0" xfId="106" applyNumberFormat="1" applyFont="1" applyFill="1">
      <alignment horizontal="right" vertical="center"/>
      <protection/>
    </xf>
    <xf numFmtId="209" fontId="0" fillId="33" borderId="0" xfId="86" applyNumberFormat="1" applyFont="1" applyFill="1" applyAlignment="1">
      <alignment horizontal="center"/>
    </xf>
    <xf numFmtId="205" fontId="0" fillId="33" borderId="0" xfId="72" applyNumberFormat="1" applyFont="1" applyFill="1" applyAlignment="1">
      <alignment horizontal="left" vertical="center"/>
      <protection/>
    </xf>
    <xf numFmtId="208" fontId="6" fillId="33" borderId="10" xfId="106" applyNumberFormat="1" applyFont="1" applyFill="1" applyBorder="1">
      <alignment horizontal="right" vertical="center"/>
      <protection/>
    </xf>
    <xf numFmtId="198" fontId="0" fillId="33" borderId="9" xfId="58" applyNumberFormat="1" applyFont="1" applyFill="1" applyBorder="1" applyAlignment="1">
      <alignment horizontal="right" vertical="center"/>
      <protection/>
    </xf>
    <xf numFmtId="0" fontId="36" fillId="33" borderId="0" xfId="72" applyFont="1" applyFill="1">
      <alignment vertical="center"/>
      <protection/>
    </xf>
    <xf numFmtId="171" fontId="37" fillId="33" borderId="0" xfId="58" applyNumberFormat="1" applyFont="1" applyFill="1">
      <alignment horizontal="center" vertical="center"/>
      <protection/>
    </xf>
    <xf numFmtId="11" fontId="0" fillId="33" borderId="0" xfId="86" applyNumberFormat="1" applyFont="1" applyFill="1" applyAlignment="1">
      <alignment/>
    </xf>
    <xf numFmtId="0" fontId="77" fillId="33" borderId="0" xfId="0" applyFont="1" applyFill="1" applyAlignment="1">
      <alignment/>
    </xf>
    <xf numFmtId="10" fontId="76" fillId="33" borderId="0" xfId="86" applyNumberFormat="1" applyFont="1" applyFill="1" applyAlignment="1">
      <alignment/>
    </xf>
    <xf numFmtId="0" fontId="32" fillId="33" borderId="0" xfId="72" applyFont="1" applyFill="1" applyAlignment="1" applyProtection="1">
      <alignment horizontal="left" vertical="center"/>
      <protection locked="0"/>
    </xf>
    <xf numFmtId="171" fontId="30" fillId="0" borderId="11" xfId="70" applyNumberFormat="1" applyFont="1" applyBorder="1" applyAlignment="1">
      <alignment horizontal="center" vertical="center"/>
      <protection/>
    </xf>
    <xf numFmtId="0" fontId="78" fillId="34" borderId="0" xfId="0" applyFont="1" applyFill="1" applyAlignment="1">
      <alignment horizontal="left" indent="4"/>
    </xf>
    <xf numFmtId="0" fontId="78" fillId="34" borderId="0" xfId="0" applyFont="1" applyFill="1" applyAlignment="1">
      <alignment horizontal="left" wrapText="1" indent="1"/>
    </xf>
    <xf numFmtId="0" fontId="0" fillId="34" borderId="0" xfId="0" applyFill="1" applyAlignment="1">
      <alignment horizontal="left" wrapText="1" indent="1"/>
    </xf>
    <xf numFmtId="0" fontId="79" fillId="34" borderId="0" xfId="0" applyFont="1" applyFill="1" applyAlignment="1">
      <alignment horizontal="left" wrapText="1" indent="1"/>
    </xf>
    <xf numFmtId="0" fontId="78" fillId="34" borderId="0" xfId="0" applyFont="1" applyFill="1" applyAlignment="1">
      <alignment horizontal="left" wrapText="1" indent="2"/>
    </xf>
    <xf numFmtId="0" fontId="78" fillId="33" borderId="0" xfId="0" applyFont="1" applyFill="1" applyAlignment="1">
      <alignment horizontal="left" wrapText="1" indent="1"/>
    </xf>
    <xf numFmtId="0" fontId="79" fillId="33" borderId="0" xfId="0" applyFont="1" applyFill="1" applyAlignment="1">
      <alignment horizontal="left" wrapText="1" indent="1"/>
    </xf>
    <xf numFmtId="0" fontId="0" fillId="33" borderId="0" xfId="0" applyFill="1" applyAlignment="1">
      <alignment horizontal="left" wrapText="1" indent="2"/>
    </xf>
    <xf numFmtId="0" fontId="78" fillId="33" borderId="0" xfId="0" applyFont="1" applyFill="1" applyAlignment="1">
      <alignment horizontal="left" wrapText="1" indent="2"/>
    </xf>
    <xf numFmtId="0" fontId="80" fillId="33" borderId="0" xfId="0" applyFont="1" applyFill="1" applyAlignment="1">
      <alignment horizontal="left" wrapText="1" indent="1"/>
    </xf>
    <xf numFmtId="0" fontId="6" fillId="33" borderId="0" xfId="71" applyFont="1" applyFill="1">
      <alignment vertical="center"/>
      <protection/>
    </xf>
    <xf numFmtId="0" fontId="23" fillId="33" borderId="0" xfId="71" applyFont="1" applyFill="1" applyAlignment="1">
      <alignment horizontal="center" vertical="center"/>
      <protection/>
    </xf>
    <xf numFmtId="211" fontId="0" fillId="33" borderId="0" xfId="110" applyNumberFormat="1" applyFont="1" applyFill="1">
      <alignment horizontal="right" vertical="center"/>
      <protection/>
    </xf>
    <xf numFmtId="175" fontId="24" fillId="0" borderId="1" xfId="49" applyNumberFormat="1" applyFont="1">
      <alignment horizontal="right" vertical="center"/>
      <protection locked="0"/>
    </xf>
    <xf numFmtId="165" fontId="6" fillId="33" borderId="0" xfId="56" applyFont="1" applyFill="1">
      <alignment horizontal="center" vertical="center"/>
      <protection/>
    </xf>
    <xf numFmtId="165" fontId="33" fillId="33" borderId="0" xfId="56" applyFont="1" applyFill="1">
      <alignment horizontal="center" vertical="center"/>
      <protection/>
    </xf>
    <xf numFmtId="175" fontId="0" fillId="33" borderId="0" xfId="106" applyNumberFormat="1" applyFont="1" applyFill="1">
      <alignment horizontal="right" vertical="center"/>
      <protection/>
    </xf>
    <xf numFmtId="0" fontId="7" fillId="0" borderId="0" xfId="76">
      <alignment horizontal="left" vertical="center"/>
      <protection locked="0"/>
    </xf>
    <xf numFmtId="171" fontId="11" fillId="0" borderId="0" xfId="117" applyNumberFormat="1" quotePrefix="1">
      <alignment horizontal="left" vertical="center"/>
      <protection locked="0"/>
    </xf>
    <xf numFmtId="171" fontId="11" fillId="0" borderId="0" xfId="117" applyNumberFormat="1" applyAlignment="1" quotePrefix="1">
      <alignment horizontal="right" vertical="center"/>
      <protection locked="0"/>
    </xf>
    <xf numFmtId="173" fontId="9" fillId="0" borderId="0" xfId="115" applyNumberFormat="1" applyAlignment="1" quotePrefix="1">
      <alignment horizontal="right" vertical="center"/>
      <protection locked="0"/>
    </xf>
    <xf numFmtId="0" fontId="9" fillId="0" borderId="0" xfId="115" quotePrefix="1">
      <alignment horizontal="left" vertical="center"/>
      <protection locked="0"/>
    </xf>
    <xf numFmtId="0" fontId="7" fillId="33" borderId="0" xfId="76" applyFill="1">
      <alignment horizontal="left" vertical="center"/>
      <protection locked="0"/>
    </xf>
    <xf numFmtId="0" fontId="35" fillId="33" borderId="12" xfId="0" applyFont="1" applyFill="1" applyBorder="1" applyAlignment="1">
      <alignment horizontal="center"/>
    </xf>
    <xf numFmtId="0" fontId="77" fillId="33" borderId="0" xfId="0" applyFont="1" applyFill="1" applyAlignment="1">
      <alignment horizontal="center"/>
    </xf>
  </cellXfs>
  <cellStyles count="10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umptions Center Currency" xfId="39"/>
    <cellStyle name="Assumptions Center Date" xfId="40"/>
    <cellStyle name="Assumptions Center Multiple" xfId="41"/>
    <cellStyle name="Assumptions Center Number" xfId="42"/>
    <cellStyle name="Assumptions Center Percentage" xfId="43"/>
    <cellStyle name="Assumptions Center Year" xfId="44"/>
    <cellStyle name="Assumptions Heading" xfId="45"/>
    <cellStyle name="Assumptions Right Currency" xfId="46"/>
    <cellStyle name="Assumptions Right Date" xfId="47"/>
    <cellStyle name="Assumptions Right Multiple" xfId="48"/>
    <cellStyle name="Assumptions Right Number" xfId="49"/>
    <cellStyle name="Assumptions Right Percentage" xfId="50"/>
    <cellStyle name="Assumptions Right Year" xfId="51"/>
    <cellStyle name="Bad" xfId="52"/>
    <cellStyle name="Calculation" xfId="53"/>
    <cellStyle name="Cell Link" xfId="54"/>
    <cellStyle name="Center Currency" xfId="55"/>
    <cellStyle name="Center Date" xfId="56"/>
    <cellStyle name="Center Multiple" xfId="57"/>
    <cellStyle name="Center Number" xfId="58"/>
    <cellStyle name="Center Percentage" xfId="59"/>
    <cellStyle name="Center Year" xfId="60"/>
    <cellStyle name="Check Cell" xfId="61"/>
    <cellStyle name="Comma" xfId="62"/>
    <cellStyle name="Comma [0]" xfId="63"/>
    <cellStyle name="Currency" xfId="64"/>
    <cellStyle name="Currency [0]"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Hyperlink Arrow" xfId="74"/>
    <cellStyle name="Hyperlink Check" xfId="75"/>
    <cellStyle name="Hyperlink Text" xfId="76"/>
    <cellStyle name="Input" xfId="77"/>
    <cellStyle name="Linked Cell" xfId="78"/>
    <cellStyle name="Lookup Table Heading" xfId="79"/>
    <cellStyle name="Lookup Table Label" xfId="80"/>
    <cellStyle name="Lookup Table Number" xfId="81"/>
    <cellStyle name="Model Name" xfId="82"/>
    <cellStyle name="Neutral" xfId="83"/>
    <cellStyle name="Note" xfId="84"/>
    <cellStyle name="Output" xfId="85"/>
    <cellStyle name="Percent" xfId="86"/>
    <cellStyle name="Period Title" xfId="87"/>
    <cellStyle name="Presentation Currency" xfId="88"/>
    <cellStyle name="Presentation Date" xfId="89"/>
    <cellStyle name="Presentation Heading 1" xfId="90"/>
    <cellStyle name="Presentation Heading 2" xfId="91"/>
    <cellStyle name="Presentation Heading 3" xfId="92"/>
    <cellStyle name="Presentation Heading 4" xfId="93"/>
    <cellStyle name="Presentation Hyperlink Arrow" xfId="94"/>
    <cellStyle name="Presentation Hyperlink Check" xfId="95"/>
    <cellStyle name="Presentation Hyperlink Text" xfId="96"/>
    <cellStyle name="Presentation Model Name" xfId="97"/>
    <cellStyle name="Presentation Multiple" xfId="98"/>
    <cellStyle name="Presentation Normal" xfId="99"/>
    <cellStyle name="Presentation Number" xfId="100"/>
    <cellStyle name="Presentation Percentage" xfId="101"/>
    <cellStyle name="Presentation Period Title" xfId="102"/>
    <cellStyle name="Presentation Section Number" xfId="103"/>
    <cellStyle name="Presentation Sheet Title" xfId="104"/>
    <cellStyle name="Presentation Year" xfId="105"/>
    <cellStyle name="Right Currency" xfId="106"/>
    <cellStyle name="Right Date" xfId="107"/>
    <cellStyle name="Right Multiple" xfId="108"/>
    <cellStyle name="Right Number" xfId="109"/>
    <cellStyle name="Right Percentage" xfId="110"/>
    <cellStyle name="Right Year" xfId="111"/>
    <cellStyle name="Section Number" xfId="112"/>
    <cellStyle name="Sheet Title" xfId="113"/>
    <cellStyle name="Title" xfId="114"/>
    <cellStyle name="TOC 1" xfId="115"/>
    <cellStyle name="TOC 2" xfId="116"/>
    <cellStyle name="TOC 3" xfId="117"/>
    <cellStyle name="TOC 4" xfId="118"/>
    <cellStyle name="Total" xfId="119"/>
    <cellStyle name="Warning Text" xfId="120"/>
  </cellStyles>
  <dxfs count="2">
    <dxf>
      <font>
        <b/>
        <i val="0"/>
        <color theme="0"/>
      </font>
      <fill>
        <patternFill>
          <bgColor theme="6" tint="0.3999499976634979"/>
        </patternFill>
      </fill>
      <border>
        <left style="thin"/>
        <right style="thin"/>
        <top style="thin"/>
        <bottom style="thin"/>
      </border>
    </dxf>
    <dxf>
      <font>
        <b/>
        <i val="0"/>
        <color theme="0"/>
      </font>
      <fill>
        <patternFill>
          <bgColor theme="6" tint="0.399949997663497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0069B3"/>
      <rgbColor rgb="00DAAF5B"/>
      <rgbColor rgb="0007275C"/>
      <rgbColor rgb="008E8C8C"/>
      <rgbColor rgb="00007767"/>
      <rgbColor rgb="00CB2840"/>
      <rgbColor rgb="00E66904"/>
      <rgbColor rgb="009C7936"/>
      <rgbColor rgb="000069B3"/>
      <rgbColor rgb="00DAAF5B"/>
      <rgbColor rgb="0007275C"/>
      <rgbColor rgb="008E8C8C"/>
      <rgbColor rgb="00007767"/>
      <rgbColor rgb="00CB2840"/>
      <rgbColor rgb="00E66904"/>
      <rgbColor rgb="009C793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FF0000"/>
                </a:solidFill>
              </a:rPr>
              <a:t>NPV at various discount rates</a:t>
            </a:r>
          </a:p>
        </c:rich>
      </c:tx>
      <c:layout>
        <c:manualLayout>
          <c:xMode val="factor"/>
          <c:yMode val="factor"/>
          <c:x val="-0.002"/>
          <c:y val="-0.01075"/>
        </c:manualLayout>
      </c:layout>
      <c:spPr>
        <a:noFill/>
        <a:ln w="3175">
          <a:noFill/>
        </a:ln>
      </c:spPr>
    </c:title>
    <c:plotArea>
      <c:layout>
        <c:manualLayout>
          <c:xMode val="edge"/>
          <c:yMode val="edge"/>
          <c:x val="0.0785"/>
          <c:y val="0.143"/>
          <c:w val="0.84125"/>
          <c:h val="0.72425"/>
        </c:manualLayout>
      </c:layout>
      <c:lineChart>
        <c:grouping val="standard"/>
        <c:varyColors val="0"/>
        <c:ser>
          <c:idx val="1"/>
          <c:order val="0"/>
          <c:tx>
            <c:strRef>
              <c:f>Value_Not_Right_BA!$G$73</c:f>
              <c:strCache>
                <c:ptCount val="1"/>
                <c:pt idx="0">
                  <c:v>NPV</c:v>
                </c:pt>
              </c:strCache>
            </c:strRef>
          </c:tx>
          <c:spPr>
            <a:ln w="25400">
              <a:solidFill>
                <a:srgbClr val="CB284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Value_Not_Right_BA!$F$74:$F$174</c:f>
            </c:numRef>
          </c:cat>
          <c:val>
            <c:numRef>
              <c:f>Value_Not_Right_BA!$G$74:$G$174</c:f>
            </c:numRef>
          </c:val>
          <c:smooth val="0"/>
        </c:ser>
        <c:marker val="1"/>
        <c:axId val="19405565"/>
        <c:axId val="40432358"/>
      </c:lineChart>
      <c:catAx>
        <c:axId val="19405565"/>
        <c:scaling>
          <c:orientation val="minMax"/>
        </c:scaling>
        <c:axPos val="b"/>
        <c:title>
          <c:tx>
            <c:rich>
              <a:bodyPr vert="horz" rot="0" anchor="ctr"/>
              <a:lstStyle/>
              <a:p>
                <a:pPr algn="ctr">
                  <a:defRPr/>
                </a:pPr>
                <a:r>
                  <a:rPr lang="en-US" cap="none" sz="1000" b="1" i="0" u="none" baseline="0">
                    <a:solidFill>
                      <a:srgbClr val="FF0000"/>
                    </a:solidFill>
                  </a:rPr>
                  <a:t>Discount Rate (%)</a:t>
                </a:r>
              </a:p>
            </c:rich>
          </c:tx>
          <c:layout>
            <c:manualLayout>
              <c:xMode val="factor"/>
              <c:yMode val="factor"/>
              <c:x val="0"/>
              <c:y val="-0.00575"/>
            </c:manualLayout>
          </c:layout>
          <c:overlay val="0"/>
          <c:spPr>
            <a:noFill/>
            <a:ln w="3175">
              <a:noFill/>
            </a:ln>
          </c:spPr>
        </c:title>
        <c:delete val="0"/>
        <c:numFmt formatCode="General" sourceLinked="1"/>
        <c:majorTickMark val="out"/>
        <c:minorTickMark val="none"/>
        <c:tickLblPos val="low"/>
        <c:spPr>
          <a:ln w="3175">
            <a:solidFill>
              <a:srgbClr val="808080"/>
            </a:solidFill>
          </a:ln>
        </c:spPr>
        <c:crossAx val="40432358"/>
        <c:crosses val="autoZero"/>
        <c:auto val="1"/>
        <c:lblOffset val="100"/>
        <c:tickLblSkip val="50"/>
        <c:tickMarkSkip val="50"/>
        <c:noMultiLvlLbl val="0"/>
      </c:catAx>
      <c:valAx>
        <c:axId val="40432358"/>
        <c:scaling>
          <c:orientation val="minMax"/>
        </c:scaling>
        <c:axPos val="l"/>
        <c:title>
          <c:tx>
            <c:rich>
              <a:bodyPr vert="horz" rot="-5400000" anchor="ctr"/>
              <a:lstStyle/>
              <a:p>
                <a:pPr algn="ctr">
                  <a:defRPr/>
                </a:pPr>
                <a:r>
                  <a:rPr lang="en-US" cap="none" sz="1000" b="1" i="0" u="none" baseline="0">
                    <a:solidFill>
                      <a:srgbClr val="FF0000"/>
                    </a:solidFill>
                  </a:rPr>
                  <a:t>NPV ($k)</a:t>
                </a:r>
              </a:p>
            </c:rich>
          </c:tx>
          <c:layout>
            <c:manualLayout>
              <c:xMode val="factor"/>
              <c:yMode val="factor"/>
              <c:x val="-0.0005"/>
              <c:y val="0.013"/>
            </c:manualLayout>
          </c:layout>
          <c:overlay val="0"/>
          <c:spPr>
            <a:noFill/>
            <a:ln w="3175">
              <a:noFill/>
            </a:ln>
          </c:spPr>
        </c:title>
        <c:delete val="0"/>
        <c:numFmt formatCode="_(#,##0,_);\(#,##0,\);_(&quot;-&quot;_)" sourceLinked="0"/>
        <c:majorTickMark val="out"/>
        <c:minorTickMark val="none"/>
        <c:tickLblPos val="nextTo"/>
        <c:spPr>
          <a:ln w="3175">
            <a:solidFill>
              <a:srgbClr val="808080"/>
            </a:solidFill>
          </a:ln>
        </c:spPr>
        <c:crossAx val="19405565"/>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FF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FF0000"/>
                </a:solidFill>
              </a:rPr>
              <a:t>NPV at various discount rates</a:t>
            </a:r>
          </a:p>
        </c:rich>
      </c:tx>
      <c:layout>
        <c:manualLayout>
          <c:xMode val="factor"/>
          <c:yMode val="factor"/>
          <c:x val="-0.002"/>
          <c:y val="-0.01075"/>
        </c:manualLayout>
      </c:layout>
      <c:spPr>
        <a:noFill/>
        <a:ln w="3175">
          <a:noFill/>
        </a:ln>
      </c:spPr>
    </c:title>
    <c:plotArea>
      <c:layout>
        <c:manualLayout>
          <c:xMode val="edge"/>
          <c:yMode val="edge"/>
          <c:x val="0.0785"/>
          <c:y val="0.143"/>
          <c:w val="0.84125"/>
          <c:h val="0.72425"/>
        </c:manualLayout>
      </c:layout>
      <c:lineChart>
        <c:grouping val="standard"/>
        <c:varyColors val="0"/>
        <c:ser>
          <c:idx val="1"/>
          <c:order val="0"/>
          <c:tx>
            <c:strRef>
              <c:f>Value_Not_Right_BA!$G$73</c:f>
              <c:strCache>
                <c:ptCount val="1"/>
                <c:pt idx="0">
                  <c:v>NPV</c:v>
                </c:pt>
              </c:strCache>
            </c:strRef>
          </c:tx>
          <c:spPr>
            <a:ln w="25400">
              <a:solidFill>
                <a:srgbClr val="CB284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Value_Not_Right_BA!$F$74:$F$174</c:f>
              <c:numCache>
                <c:ptCount val="101"/>
                <c:pt idx="0">
                  <c:v>0</c:v>
                </c:pt>
                <c:pt idx="1">
                  <c:v>0.1</c:v>
                </c:pt>
                <c:pt idx="2">
                  <c:v>0.2</c:v>
                </c:pt>
                <c:pt idx="3">
                  <c:v>0.30000000000000004</c:v>
                </c:pt>
                <c:pt idx="4">
                  <c:v>0.4</c:v>
                </c:pt>
                <c:pt idx="5">
                  <c:v>0.5</c:v>
                </c:pt>
                <c:pt idx="6">
                  <c:v>0.6</c:v>
                </c:pt>
                <c:pt idx="7">
                  <c:v>0.7</c:v>
                </c:pt>
                <c:pt idx="8">
                  <c:v>0.7999999999999999</c:v>
                </c:pt>
                <c:pt idx="9">
                  <c:v>0.8999999999999999</c:v>
                </c:pt>
                <c:pt idx="10">
                  <c:v>0.9999999999999999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2.400000000000001</c:v>
                </c:pt>
                <c:pt idx="25">
                  <c:v>2.500000000000001</c:v>
                </c:pt>
                <c:pt idx="26">
                  <c:v>2.600000000000001</c:v>
                </c:pt>
                <c:pt idx="27">
                  <c:v>2.700000000000001</c:v>
                </c:pt>
                <c:pt idx="28">
                  <c:v>2.800000000000001</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3.600000000000002</c:v>
                </c:pt>
                <c:pt idx="37">
                  <c:v>3.700000000000002</c:v>
                </c:pt>
                <c:pt idx="38">
                  <c:v>3.800000000000002</c:v>
                </c:pt>
                <c:pt idx="39">
                  <c:v>3.900000000000002</c:v>
                </c:pt>
                <c:pt idx="40">
                  <c:v>4.000000000000002</c:v>
                </c:pt>
                <c:pt idx="41">
                  <c:v>4.100000000000001</c:v>
                </c:pt>
                <c:pt idx="42">
                  <c:v>4.200000000000001</c:v>
                </c:pt>
                <c:pt idx="43">
                  <c:v>4.300000000000001</c:v>
                </c:pt>
                <c:pt idx="44">
                  <c:v>4.4</c:v>
                </c:pt>
                <c:pt idx="45">
                  <c:v>4.5</c:v>
                </c:pt>
                <c:pt idx="46">
                  <c:v>4.6</c:v>
                </c:pt>
                <c:pt idx="47">
                  <c:v>4.699999999999999</c:v>
                </c:pt>
                <c:pt idx="48">
                  <c:v>4.799999999999999</c:v>
                </c:pt>
                <c:pt idx="49">
                  <c:v>4.899999999999999</c:v>
                </c:pt>
                <c:pt idx="50">
                  <c:v>4.999999999999998</c:v>
                </c:pt>
                <c:pt idx="51">
                  <c:v>5.099999999999998</c:v>
                </c:pt>
                <c:pt idx="52">
                  <c:v>5.1999999999999975</c:v>
                </c:pt>
                <c:pt idx="53">
                  <c:v>5.299999999999997</c:v>
                </c:pt>
                <c:pt idx="54">
                  <c:v>5.399999999999997</c:v>
                </c:pt>
                <c:pt idx="55">
                  <c:v>5.4999999999999964</c:v>
                </c:pt>
                <c:pt idx="56">
                  <c:v>5.599999999999996</c:v>
                </c:pt>
                <c:pt idx="57">
                  <c:v>5.699999999999996</c:v>
                </c:pt>
                <c:pt idx="58">
                  <c:v>5.799999999999995</c:v>
                </c:pt>
                <c:pt idx="59">
                  <c:v>5.899999999999995</c:v>
                </c:pt>
                <c:pt idx="60">
                  <c:v>5.999999999999995</c:v>
                </c:pt>
                <c:pt idx="61">
                  <c:v>6.099999999999994</c:v>
                </c:pt>
                <c:pt idx="62">
                  <c:v>6.199999999999994</c:v>
                </c:pt>
                <c:pt idx="63">
                  <c:v>6.299999999999994</c:v>
                </c:pt>
                <c:pt idx="64">
                  <c:v>6.399999999999993</c:v>
                </c:pt>
                <c:pt idx="65">
                  <c:v>6.499999999999993</c:v>
                </c:pt>
                <c:pt idx="66">
                  <c:v>6.5999999999999925</c:v>
                </c:pt>
                <c:pt idx="67">
                  <c:v>6.699999999999992</c:v>
                </c:pt>
                <c:pt idx="68">
                  <c:v>6.799999999999992</c:v>
                </c:pt>
                <c:pt idx="69">
                  <c:v>6.8999999999999915</c:v>
                </c:pt>
                <c:pt idx="70">
                  <c:v>6.999999999999991</c:v>
                </c:pt>
                <c:pt idx="71">
                  <c:v>7.099999999999991</c:v>
                </c:pt>
                <c:pt idx="72">
                  <c:v>7.19999999999999</c:v>
                </c:pt>
                <c:pt idx="73">
                  <c:v>7.29999999999999</c:v>
                </c:pt>
                <c:pt idx="74">
                  <c:v>7.39999999999999</c:v>
                </c:pt>
                <c:pt idx="75">
                  <c:v>7.499999999999989</c:v>
                </c:pt>
                <c:pt idx="76">
                  <c:v>7.599999999999989</c:v>
                </c:pt>
                <c:pt idx="77">
                  <c:v>7.699999999999989</c:v>
                </c:pt>
                <c:pt idx="78">
                  <c:v>7.799999999999988</c:v>
                </c:pt>
                <c:pt idx="79">
                  <c:v>7.899999999999988</c:v>
                </c:pt>
                <c:pt idx="80">
                  <c:v>7.999999999999988</c:v>
                </c:pt>
                <c:pt idx="81">
                  <c:v>8.099999999999987</c:v>
                </c:pt>
                <c:pt idx="82">
                  <c:v>8.199999999999987</c:v>
                </c:pt>
                <c:pt idx="83">
                  <c:v>8.299999999999986</c:v>
                </c:pt>
                <c:pt idx="84">
                  <c:v>8.399999999999986</c:v>
                </c:pt>
                <c:pt idx="85">
                  <c:v>8.499999999999986</c:v>
                </c:pt>
                <c:pt idx="86">
                  <c:v>8.599999999999985</c:v>
                </c:pt>
                <c:pt idx="87">
                  <c:v>8.699999999999985</c:v>
                </c:pt>
                <c:pt idx="88">
                  <c:v>8.799999999999985</c:v>
                </c:pt>
                <c:pt idx="89">
                  <c:v>8.899999999999984</c:v>
                </c:pt>
                <c:pt idx="90">
                  <c:v>8.999999999999984</c:v>
                </c:pt>
                <c:pt idx="91">
                  <c:v>9.099999999999984</c:v>
                </c:pt>
                <c:pt idx="92">
                  <c:v>9.199999999999983</c:v>
                </c:pt>
                <c:pt idx="93">
                  <c:v>9.299999999999983</c:v>
                </c:pt>
                <c:pt idx="94">
                  <c:v>9.399999999999983</c:v>
                </c:pt>
                <c:pt idx="95">
                  <c:v>9.499999999999982</c:v>
                </c:pt>
                <c:pt idx="96">
                  <c:v>9.599999999999982</c:v>
                </c:pt>
                <c:pt idx="97">
                  <c:v>9.699999999999982</c:v>
                </c:pt>
                <c:pt idx="98">
                  <c:v>9.799999999999981</c:v>
                </c:pt>
                <c:pt idx="99">
                  <c:v>9.89999999999998</c:v>
                </c:pt>
                <c:pt idx="100">
                  <c:v>9.99999999999998</c:v>
                </c:pt>
              </c:numCache>
            </c:numRef>
          </c:cat>
          <c:val>
            <c:numRef>
              <c:f>Value_Not_Right_BA!$G$74:$G$174</c:f>
              <c:numCache>
                <c:ptCount val="101"/>
                <c:pt idx="0">
                  <c:v>20000</c:v>
                </c:pt>
                <c:pt idx="1">
                  <c:v>8343.350864012005</c:v>
                </c:pt>
                <c:pt idx="2">
                  <c:v>833.3333333333285</c:v>
                </c:pt>
                <c:pt idx="3">
                  <c:v>-4080.5644060081977</c:v>
                </c:pt>
                <c:pt idx="4">
                  <c:v>-7317.784256559764</c:v>
                </c:pt>
                <c:pt idx="5">
                  <c:v>-9444.444444444442</c:v>
                </c:pt>
                <c:pt idx="6">
                  <c:v>-10820.312500000004</c:v>
                </c:pt>
                <c:pt idx="7">
                  <c:v>-11680.236108284142</c:v>
                </c:pt>
                <c:pt idx="8">
                  <c:v>-12181.069958847733</c:v>
                </c:pt>
                <c:pt idx="9">
                  <c:v>-12429.654468581428</c:v>
                </c:pt>
                <c:pt idx="10">
                  <c:v>-12500</c:v>
                </c:pt>
                <c:pt idx="11">
                  <c:v>-12444.120505344996</c:v>
                </c:pt>
                <c:pt idx="12">
                  <c:v>-12299.023290758825</c:v>
                </c:pt>
                <c:pt idx="13">
                  <c:v>-12091.312566778994</c:v>
                </c:pt>
                <c:pt idx="14">
                  <c:v>-11840.277777777777</c:v>
                </c:pt>
                <c:pt idx="15">
                  <c:v>-11560</c:v>
                </c:pt>
                <c:pt idx="16">
                  <c:v>-11260.810195721437</c:v>
                </c:pt>
                <c:pt idx="17">
                  <c:v>-10950.312452370064</c:v>
                </c:pt>
                <c:pt idx="18">
                  <c:v>-10634.11078717201</c:v>
                </c:pt>
                <c:pt idx="19">
                  <c:v>-10316.331132887775</c:v>
                </c:pt>
                <c:pt idx="20">
                  <c:v>-10000</c:v>
                </c:pt>
                <c:pt idx="21">
                  <c:v>-9687.321674331175</c:v>
                </c:pt>
                <c:pt idx="22">
                  <c:v>-9379.882812499996</c:v>
                </c:pt>
                <c:pt idx="23">
                  <c:v>-9078.804574672342</c:v>
                </c:pt>
                <c:pt idx="24">
                  <c:v>-8784.856503154893</c:v>
                </c:pt>
                <c:pt idx="25">
                  <c:v>-8498.542274052475</c:v>
                </c:pt>
                <c:pt idx="26">
                  <c:v>-8220.164609053496</c:v>
                </c:pt>
                <c:pt idx="27">
                  <c:v>-7949.874637237674</c:v>
                </c:pt>
                <c:pt idx="28">
                  <c:v>-7687.7095786557775</c:v>
                </c:pt>
                <c:pt idx="29">
                  <c:v>-7433.621605219236</c:v>
                </c:pt>
                <c:pt idx="30">
                  <c:v>-7187.499999999996</c:v>
                </c:pt>
                <c:pt idx="31">
                  <c:v>-6949.188200983732</c:v>
                </c:pt>
                <c:pt idx="32">
                  <c:v>-6718.496922578552</c:v>
                </c:pt>
                <c:pt idx="33">
                  <c:v>-6495.214257864083</c:v>
                </c:pt>
                <c:pt idx="34">
                  <c:v>-6279.113448534932</c:v>
                </c:pt>
                <c:pt idx="35">
                  <c:v>-6069.9588477366215</c:v>
                </c:pt>
                <c:pt idx="36">
                  <c:v>-5867.510479164951</c:v>
                </c:pt>
                <c:pt idx="37">
                  <c:v>-5671.527503539675</c:v>
                </c:pt>
                <c:pt idx="38">
                  <c:v>-5481.770833333328</c:v>
                </c:pt>
                <c:pt idx="39">
                  <c:v>-5298.005082916126</c:v>
                </c:pt>
                <c:pt idx="40">
                  <c:v>-5119.999999999997</c:v>
                </c:pt>
                <c:pt idx="41">
                  <c:v>-4947.5314924124195</c:v>
                </c:pt>
                <c:pt idx="42">
                  <c:v>-4780.382339553935</c:v>
                </c:pt>
                <c:pt idx="43">
                  <c:v>-4618.342658704834</c:v>
                </c:pt>
                <c:pt idx="44">
                  <c:v>-4461.2101813747895</c:v>
                </c:pt>
                <c:pt idx="45">
                  <c:v>-4308.790383170548</c:v>
                </c:pt>
                <c:pt idx="46">
                  <c:v>-4160.896501457726</c:v>
                </c:pt>
                <c:pt idx="47">
                  <c:v>-4017.349467852458</c:v>
                </c:pt>
                <c:pt idx="48">
                  <c:v>-3877.977776866622</c:v>
                </c:pt>
                <c:pt idx="49">
                  <c:v>-3742.617307514403</c:v>
                </c:pt>
                <c:pt idx="50">
                  <c:v>-3611.111111111114</c:v>
                </c:pt>
                <c:pt idx="51">
                  <c:v>-3483.3091756578765</c:v>
                </c:pt>
                <c:pt idx="52">
                  <c:v>-3359.068174952169</c:v>
                </c:pt>
                <c:pt idx="53">
                  <c:v>-3238.251208772753</c:v>
                </c:pt>
                <c:pt idx="54">
                  <c:v>-3120.7275390625027</c:v>
                </c:pt>
                <c:pt idx="55">
                  <c:v>-3006.3723258989576</c:v>
                </c:pt>
                <c:pt idx="56">
                  <c:v>-2895.06636614075</c:v>
                </c:pt>
                <c:pt idx="57">
                  <c:v>-2786.695836921435</c:v>
                </c:pt>
                <c:pt idx="58">
                  <c:v>-2681.1520455933282</c:v>
                </c:pt>
                <c:pt idx="59">
                  <c:v>-2578.3311872734134</c:v>
                </c:pt>
                <c:pt idx="60">
                  <c:v>-2478.134110787177</c:v>
                </c:pt>
                <c:pt idx="61">
                  <c:v>-2380.4660935260495</c:v>
                </c:pt>
                <c:pt idx="62">
                  <c:v>-2285.236625514409</c:v>
                </c:pt>
                <c:pt idx="63">
                  <c:v>-2192.359202811194</c:v>
                </c:pt>
                <c:pt idx="64">
                  <c:v>-2101.751130239083</c:v>
                </c:pt>
                <c:pt idx="65">
                  <c:v>-2013.3333333333394</c:v>
                </c:pt>
                <c:pt idx="66">
                  <c:v>-1927.0301793264384</c:v>
                </c:pt>
                <c:pt idx="67">
                  <c:v>-1842.769306928531</c:v>
                </c:pt>
                <c:pt idx="68">
                  <c:v>-1760.4814646234836</c:v>
                </c:pt>
                <c:pt idx="69">
                  <c:v>-1680.1003571725628</c:v>
                </c:pt>
                <c:pt idx="70">
                  <c:v>-1601.5625000000064</c:v>
                </c:pt>
                <c:pt idx="71">
                  <c:v>-1524.8070811247226</c:v>
                </c:pt>
                <c:pt idx="72">
                  <c:v>-1449.7758302984648</c:v>
                </c:pt>
                <c:pt idx="73">
                  <c:v>-1376.4128950116108</c:v>
                </c:pt>
                <c:pt idx="74">
                  <c:v>-1304.6647230320775</c:v>
                </c:pt>
                <c:pt idx="75">
                  <c:v>-1234.479951150018</c:v>
                </c:pt>
                <c:pt idx="76">
                  <c:v>-1165.8092998100872</c:v>
                </c:pt>
                <c:pt idx="77">
                  <c:v>-1098.6054733235915</c:v>
                </c:pt>
                <c:pt idx="78">
                  <c:v>-1032.8230653643952</c:v>
                </c:pt>
                <c:pt idx="79">
                  <c:v>-968.418469464622</c:v>
                </c:pt>
                <c:pt idx="80">
                  <c:v>-905.3497942386908</c:v>
                </c:pt>
                <c:pt idx="81">
                  <c:v>-843.5767830768516</c:v>
                </c:pt>
                <c:pt idx="82">
                  <c:v>-783.0607380619789</c:v>
                </c:pt>
                <c:pt idx="83">
                  <c:v>-723.7644478757643</c:v>
                </c:pt>
                <c:pt idx="84">
                  <c:v>-665.6521194725722</c:v>
                </c:pt>
                <c:pt idx="85">
                  <c:v>-608.6893133109862</c:v>
                </c:pt>
                <c:pt idx="86">
                  <c:v>-552.8428819444523</c:v>
                </c:pt>
                <c:pt idx="87">
                  <c:v>-498.08091178330807</c:v>
                </c:pt>
                <c:pt idx="88">
                  <c:v>-444.3726678509888</c:v>
                </c:pt>
                <c:pt idx="89">
                  <c:v>-391.6885413671542</c:v>
                </c:pt>
                <c:pt idx="90">
                  <c:v>-340.00000000000847</c:v>
                </c:pt>
                <c:pt idx="91">
                  <c:v>-289.2795406391027</c:v>
                </c:pt>
                <c:pt idx="92">
                  <c:v>-239.50064454848518</c:v>
                </c:pt>
                <c:pt idx="93">
                  <c:v>-190.63773476816164</c:v>
                </c:pt>
                <c:pt idx="94">
                  <c:v>-142.6661356395166</c:v>
                </c:pt>
                <c:pt idx="95">
                  <c:v>-95.5620343375526</c:v>
                </c:pt>
                <c:pt idx="96">
                  <c:v>-49.302444299665076</c:v>
                </c:pt>
                <c:pt idx="97">
                  <c:v>-3.865170447086129</c:v>
                </c:pt>
                <c:pt idx="98">
                  <c:v>40.77122389878782</c:v>
                </c:pt>
                <c:pt idx="99">
                  <c:v>84.62744849728372</c:v>
                </c:pt>
                <c:pt idx="100">
                  <c:v>127.72351615325965</c:v>
                </c:pt>
              </c:numCache>
            </c:numRef>
          </c:val>
          <c:smooth val="0"/>
        </c:ser>
        <c:marker val="1"/>
        <c:axId val="28346903"/>
        <c:axId val="53795536"/>
      </c:lineChart>
      <c:catAx>
        <c:axId val="28346903"/>
        <c:scaling>
          <c:orientation val="minMax"/>
        </c:scaling>
        <c:axPos val="b"/>
        <c:title>
          <c:tx>
            <c:rich>
              <a:bodyPr vert="horz" rot="0" anchor="ctr"/>
              <a:lstStyle/>
              <a:p>
                <a:pPr algn="ctr">
                  <a:defRPr/>
                </a:pPr>
                <a:r>
                  <a:rPr lang="en-US" cap="none" sz="1000" b="1" i="0" u="none" baseline="0">
                    <a:solidFill>
                      <a:srgbClr val="FF0000"/>
                    </a:solidFill>
                  </a:rPr>
                  <a:t>Discount Rate (%)</a:t>
                </a:r>
              </a:p>
            </c:rich>
          </c:tx>
          <c:layout>
            <c:manualLayout>
              <c:xMode val="factor"/>
              <c:yMode val="factor"/>
              <c:x val="0"/>
              <c:y val="-0.00575"/>
            </c:manualLayout>
          </c:layout>
          <c:overlay val="0"/>
          <c:spPr>
            <a:noFill/>
            <a:ln w="3175">
              <a:noFill/>
            </a:ln>
          </c:spPr>
        </c:title>
        <c:delete val="0"/>
        <c:numFmt formatCode="General" sourceLinked="1"/>
        <c:majorTickMark val="out"/>
        <c:minorTickMark val="none"/>
        <c:tickLblPos val="low"/>
        <c:spPr>
          <a:ln w="3175">
            <a:solidFill>
              <a:srgbClr val="808080"/>
            </a:solidFill>
          </a:ln>
        </c:spPr>
        <c:crossAx val="53795536"/>
        <c:crosses val="autoZero"/>
        <c:auto val="1"/>
        <c:lblOffset val="100"/>
        <c:tickLblSkip val="50"/>
        <c:tickMarkSkip val="50"/>
        <c:noMultiLvlLbl val="0"/>
      </c:catAx>
      <c:valAx>
        <c:axId val="53795536"/>
        <c:scaling>
          <c:orientation val="minMax"/>
        </c:scaling>
        <c:axPos val="l"/>
        <c:title>
          <c:tx>
            <c:rich>
              <a:bodyPr vert="horz" rot="-5400000" anchor="ctr"/>
              <a:lstStyle/>
              <a:p>
                <a:pPr algn="ctr">
                  <a:defRPr/>
                </a:pPr>
                <a:r>
                  <a:rPr lang="en-US" cap="none" sz="1000" b="1" i="0" u="none" baseline="0">
                    <a:solidFill>
                      <a:srgbClr val="FF0000"/>
                    </a:solidFill>
                  </a:rPr>
                  <a:t>NPV ($k)</a:t>
                </a:r>
              </a:p>
            </c:rich>
          </c:tx>
          <c:layout>
            <c:manualLayout>
              <c:xMode val="factor"/>
              <c:yMode val="factor"/>
              <c:x val="-0.0005"/>
              <c:y val="0.013"/>
            </c:manualLayout>
          </c:layout>
          <c:overlay val="0"/>
          <c:spPr>
            <a:noFill/>
            <a:ln w="3175">
              <a:noFill/>
            </a:ln>
          </c:spPr>
        </c:title>
        <c:delete val="0"/>
        <c:numFmt formatCode="_(#,##0,_);\(#,##0,\);_(&quot;-&quot;_)" sourceLinked="0"/>
        <c:majorTickMark val="out"/>
        <c:minorTickMark val="none"/>
        <c:tickLblPos val="nextTo"/>
        <c:spPr>
          <a:ln w="3175">
            <a:solidFill>
              <a:srgbClr val="808080"/>
            </a:solidFill>
          </a:ln>
        </c:spPr>
        <c:crossAx val="28346903"/>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FF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276225</xdr:colOff>
      <xdr:row>8</xdr:row>
      <xdr:rowOff>0</xdr:rowOff>
    </xdr:from>
    <xdr:ext cx="2819400" cy="1438275"/>
    <xdr:sp>
      <xdr:nvSpPr>
        <xdr:cNvPr id="1" name="Text Box 2"/>
        <xdr:cNvSpPr txBox="1">
          <a:spLocks noChangeArrowheads="1"/>
        </xdr:cNvSpPr>
      </xdr:nvSpPr>
      <xdr:spPr>
        <a:xfrm>
          <a:off x="4429125" y="1143000"/>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solidFill>
                <a:srgbClr val="000000"/>
              </a:solidFill>
              <a:latin typeface="Tahoma"/>
              <a:ea typeface="Tahoma"/>
              <a:cs typeface="Tahoma"/>
            </a:rPr>
            <a:t>PLEASE READ: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If, upon opening, this file appears to contain errors (e.g. #NAME?), please ensure the following: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Go to Tools -&gt; Add-Ins (</a:t>
          </a:r>
          <a:r>
            <a:rPr lang="en-US" cap="none" sz="800" b="1" i="0" u="none" baseline="0">
              <a:solidFill>
                <a:srgbClr val="000000"/>
              </a:solidFill>
              <a:latin typeface="Tahoma"/>
              <a:ea typeface="Tahoma"/>
              <a:cs typeface="Tahoma"/>
            </a:rPr>
            <a:t>ALT + T + I</a:t>
          </a:r>
          <a:r>
            <a:rPr lang="en-US" cap="none" sz="800" b="0" i="0" u="none" baseline="0">
              <a:solidFill>
                <a:srgbClr val="000000"/>
              </a:solidFill>
              <a:latin typeface="Tahoma"/>
              <a:ea typeface="Tahoma"/>
              <a:cs typeface="Tahoma"/>
            </a:rPr>
            <a:t>, all versions of Excel);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Make sure </a:t>
          </a:r>
          <a:r>
            <a:rPr lang="en-US" cap="none" sz="800" b="1" i="0" u="none" baseline="0">
              <a:solidFill>
                <a:srgbClr val="000000"/>
              </a:solidFill>
              <a:latin typeface="Tahoma"/>
              <a:ea typeface="Tahoma"/>
              <a:cs typeface="Tahoma"/>
            </a:rPr>
            <a:t>Analysis ToolPak</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Analysis ToolPak - VBA</a:t>
          </a:r>
          <a:r>
            <a:rPr lang="en-US" cap="none" sz="800" b="0" i="0" u="none" baseline="0">
              <a:solidFill>
                <a:srgbClr val="000000"/>
              </a:solidFill>
              <a:latin typeface="Tahoma"/>
              <a:ea typeface="Tahoma"/>
              <a:cs typeface="Tahoma"/>
            </a:rPr>
            <a:t> add-ins are both checked.</a:t>
          </a:r>
        </a:p>
      </xdr:txBody>
    </xdr:sp>
    <xdr:clientData/>
  </xdr:oneCellAnchor>
  <xdr:twoCellAnchor editAs="oneCell">
    <xdr:from>
      <xdr:col>2</xdr:col>
      <xdr:colOff>0</xdr:colOff>
      <xdr:row>12</xdr:row>
      <xdr:rowOff>0</xdr:rowOff>
    </xdr:from>
    <xdr:to>
      <xdr:col>6</xdr:col>
      <xdr:colOff>485775</xdr:colOff>
      <xdr:row>17</xdr:row>
      <xdr:rowOff>0</xdr:rowOff>
    </xdr:to>
    <xdr:pic>
      <xdr:nvPicPr>
        <xdr:cNvPr id="2" name="Picture 4" descr="SP Logo 01.gif"/>
        <xdr:cNvPicPr preferRelativeResize="1">
          <a:picLocks noChangeAspect="1"/>
        </xdr:cNvPicPr>
      </xdr:nvPicPr>
      <xdr:blipFill>
        <a:blip r:embed="rId1"/>
        <a:stretch>
          <a:fillRect/>
        </a:stretch>
      </xdr:blipFill>
      <xdr:spPr>
        <a:xfrm>
          <a:off x="1238250" y="1857375"/>
          <a:ext cx="2162175"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7</xdr:row>
      <xdr:rowOff>0</xdr:rowOff>
    </xdr:from>
    <xdr:ext cx="2562225" cy="466725"/>
    <xdr:sp>
      <xdr:nvSpPr>
        <xdr:cNvPr id="1" name="Text Box 2"/>
        <xdr:cNvSpPr txBox="1">
          <a:spLocks noChangeArrowheads="1"/>
        </xdr:cNvSpPr>
      </xdr:nvSpPr>
      <xdr:spPr>
        <a:xfrm>
          <a:off x="9705975" y="1181100"/>
          <a:ext cx="2562225" cy="4667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This table  highlights that putting a small negative number at the beginning of a series of values does not always make calculations better...</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257175</xdr:colOff>
      <xdr:row>32</xdr:row>
      <xdr:rowOff>114300</xdr:rowOff>
    </xdr:from>
    <xdr:to>
      <xdr:col>5</xdr:col>
      <xdr:colOff>1628775</xdr:colOff>
      <xdr:row>35</xdr:row>
      <xdr:rowOff>76200</xdr:rowOff>
    </xdr:to>
    <xdr:pic>
      <xdr:nvPicPr>
        <xdr:cNvPr id="1" name="Picture 4" descr="Equation"/>
        <xdr:cNvPicPr preferRelativeResize="1">
          <a:picLocks noChangeAspect="1"/>
        </xdr:cNvPicPr>
      </xdr:nvPicPr>
      <xdr:blipFill>
        <a:blip r:embed="rId1"/>
        <a:stretch>
          <a:fillRect/>
        </a:stretch>
      </xdr:blipFill>
      <xdr:spPr>
        <a:xfrm>
          <a:off x="1352550" y="7286625"/>
          <a:ext cx="13716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23</xdr:row>
      <xdr:rowOff>0</xdr:rowOff>
    </xdr:from>
    <xdr:ext cx="2562225" cy="495300"/>
    <xdr:sp>
      <xdr:nvSpPr>
        <xdr:cNvPr id="1" name="Text Box 2"/>
        <xdr:cNvSpPr txBox="1">
          <a:spLocks noChangeArrowheads="1"/>
        </xdr:cNvSpPr>
      </xdr:nvSpPr>
      <xdr:spPr>
        <a:xfrm>
          <a:off x="5153025" y="3524250"/>
          <a:ext cx="2562225" cy="4953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Take care  when using IRR and XIRR.  They do not always provide the correct answer.  Here, the third IRR and second XIRR examples are incorrect.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533400</xdr:colOff>
      <xdr:row>30</xdr:row>
      <xdr:rowOff>0</xdr:rowOff>
    </xdr:from>
    <xdr:ext cx="2562225" cy="1571625"/>
    <xdr:sp>
      <xdr:nvSpPr>
        <xdr:cNvPr id="1" name="Text Box 2"/>
        <xdr:cNvSpPr txBox="1">
          <a:spLocks noChangeArrowheads="1"/>
        </xdr:cNvSpPr>
      </xdr:nvSpPr>
      <xdr:spPr>
        <a:xfrm>
          <a:off x="3771900" y="4552950"/>
          <a:ext cx="2562225" cy="15716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When converting text to dates always try the </a:t>
          </a:r>
          <a:r>
            <a:rPr lang="en-US" cap="none" sz="800" b="1" i="0" u="none" baseline="0">
              <a:solidFill>
                <a:srgbClr val="000000"/>
              </a:solidFill>
              <a:latin typeface="Tahoma"/>
              <a:ea typeface="Tahoma"/>
              <a:cs typeface="Tahoma"/>
            </a:rPr>
            <a:t>DATEVALUE</a:t>
          </a:r>
          <a:r>
            <a:rPr lang="en-US" cap="none" sz="800" b="0" i="0" u="none" baseline="0">
              <a:solidFill>
                <a:srgbClr val="000000"/>
              </a:solidFill>
              <a:latin typeface="Tahoma"/>
              <a:ea typeface="Tahoma"/>
              <a:cs typeface="Tahoma"/>
            </a:rPr>
            <a:t> function first.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In our example, it works (see cell G28) but this will not always be the case, so I have amended the dates in cells F33:F36 "longhand" to show the alternative, less transparent way works.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Note also that cell G34 still contains a number stored as text, yet XIRR will work (unlike other functions).  It is </a:t>
          </a:r>
          <a:r>
            <a:rPr lang="en-US" cap="none" sz="800" b="1" i="0" u="sng" baseline="0">
              <a:solidFill>
                <a:srgbClr val="000000"/>
              </a:solidFill>
              <a:latin typeface="Tahoma"/>
              <a:ea typeface="Tahoma"/>
              <a:cs typeface="Tahoma"/>
            </a:rPr>
            <a:t>always </a:t>
          </a:r>
          <a:r>
            <a:rPr lang="en-US" cap="none" sz="800" b="0" i="0" u="none" baseline="0">
              <a:solidFill>
                <a:srgbClr val="000000"/>
              </a:solidFill>
              <a:latin typeface="Tahoma"/>
              <a:ea typeface="Tahoma"/>
              <a:cs typeface="Tahoma"/>
            </a:rPr>
            <a:t>safest to convert text to numbers first.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304800</xdr:colOff>
      <xdr:row>15</xdr:row>
      <xdr:rowOff>133350</xdr:rowOff>
    </xdr:from>
    <xdr:ext cx="2562225" cy="628650"/>
    <xdr:sp>
      <xdr:nvSpPr>
        <xdr:cNvPr id="1" name="Text Box 2"/>
        <xdr:cNvSpPr txBox="1">
          <a:spLocks noChangeArrowheads="1"/>
        </xdr:cNvSpPr>
      </xdr:nvSpPr>
      <xdr:spPr>
        <a:xfrm>
          <a:off x="3190875" y="2495550"/>
          <a:ext cx="2562225" cy="6286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Watch out if you get an XIRR of 2.9802E-09.  It is generally held that XIRR could not obtain a result within 100 iterations and you need to provide a [better] guess if you see this value.</a:t>
          </a:r>
        </a:p>
      </xdr:txBody>
    </xdr:sp>
    <xdr:clientData/>
  </xdr:oneCellAnchor>
  <xdr:oneCellAnchor>
    <xdr:from>
      <xdr:col>7</xdr:col>
      <xdr:colOff>304800</xdr:colOff>
      <xdr:row>30</xdr:row>
      <xdr:rowOff>57150</xdr:rowOff>
    </xdr:from>
    <xdr:ext cx="2562225" cy="628650"/>
    <xdr:sp>
      <xdr:nvSpPr>
        <xdr:cNvPr id="2" name="Text Box 2"/>
        <xdr:cNvSpPr txBox="1">
          <a:spLocks noChangeArrowheads="1"/>
        </xdr:cNvSpPr>
      </xdr:nvSpPr>
      <xdr:spPr>
        <a:xfrm>
          <a:off x="3190875" y="4591050"/>
          <a:ext cx="2562225" cy="6286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What could be a better guess than using the answer as solved by IRR?  
Erm, doesn't work though...</a:t>
          </a:r>
        </a:p>
      </xdr:txBody>
    </xdr:sp>
    <xdr:clientData/>
  </xdr:oneCellAnchor>
  <xdr:oneCellAnchor>
    <xdr:from>
      <xdr:col>7</xdr:col>
      <xdr:colOff>304800</xdr:colOff>
      <xdr:row>46</xdr:row>
      <xdr:rowOff>66675</xdr:rowOff>
    </xdr:from>
    <xdr:ext cx="2562225" cy="628650"/>
    <xdr:sp>
      <xdr:nvSpPr>
        <xdr:cNvPr id="3" name="Text Box 2"/>
        <xdr:cNvSpPr txBox="1">
          <a:spLocks noChangeArrowheads="1"/>
        </xdr:cNvSpPr>
      </xdr:nvSpPr>
      <xdr:spPr>
        <a:xfrm>
          <a:off x="3190875" y="6896100"/>
          <a:ext cx="2562225" cy="6286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Maybe the problem is using a cell reference...
</a:t>
          </a:r>
          <a:r>
            <a:rPr lang="en-US" cap="none" sz="800" b="0" i="0" u="none" baseline="0">
              <a:solidFill>
                <a:srgbClr val="000000"/>
              </a:solidFill>
              <a:latin typeface="Tahoma"/>
              <a:ea typeface="Tahoma"/>
              <a:cs typeface="Tahoma"/>
            </a:rPr>
            <a:t>What if we use the hard coded amount instead?
Nope...</a:t>
          </a:r>
        </a:p>
      </xdr:txBody>
    </xdr:sp>
    <xdr:clientData/>
  </xdr:oneCellAnchor>
  <xdr:oneCellAnchor>
    <xdr:from>
      <xdr:col>7</xdr:col>
      <xdr:colOff>304800</xdr:colOff>
      <xdr:row>61</xdr:row>
      <xdr:rowOff>9525</xdr:rowOff>
    </xdr:from>
    <xdr:ext cx="2562225" cy="914400"/>
    <xdr:sp>
      <xdr:nvSpPr>
        <xdr:cNvPr id="4" name="Text Box 2"/>
        <xdr:cNvSpPr txBox="1">
          <a:spLocks noChangeArrowheads="1"/>
        </xdr:cNvSpPr>
      </xdr:nvSpPr>
      <xdr:spPr>
        <a:xfrm>
          <a:off x="3190875" y="8991600"/>
          <a:ext cx="2562225" cy="9144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Putting an approximate guess - close to the solution - is much more interesting...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You get the OTHER solution (see chart above)...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Now which value do you want..?</a:t>
          </a:r>
        </a:p>
      </xdr:txBody>
    </xdr:sp>
    <xdr:clientData/>
  </xdr:oneCellAnchor>
  <xdr:twoCellAnchor>
    <xdr:from>
      <xdr:col>11</xdr:col>
      <xdr:colOff>0</xdr:colOff>
      <xdr:row>5</xdr:row>
      <xdr:rowOff>47625</xdr:rowOff>
    </xdr:from>
    <xdr:to>
      <xdr:col>18</xdr:col>
      <xdr:colOff>238125</xdr:colOff>
      <xdr:row>24</xdr:row>
      <xdr:rowOff>0</xdr:rowOff>
    </xdr:to>
    <xdr:graphicFrame>
      <xdr:nvGraphicFramePr>
        <xdr:cNvPr id="5" name="Chart 19"/>
        <xdr:cNvGraphicFramePr/>
      </xdr:nvGraphicFramePr>
      <xdr:xfrm>
        <a:off x="5934075" y="9239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304800</xdr:colOff>
      <xdr:row>16</xdr:row>
      <xdr:rowOff>133350</xdr:rowOff>
    </xdr:from>
    <xdr:ext cx="2562225" cy="628650"/>
    <xdr:sp>
      <xdr:nvSpPr>
        <xdr:cNvPr id="1" name="Text Box 2"/>
        <xdr:cNvSpPr txBox="1">
          <a:spLocks noChangeArrowheads="1"/>
        </xdr:cNvSpPr>
      </xdr:nvSpPr>
      <xdr:spPr>
        <a:xfrm>
          <a:off x="3190875" y="2628900"/>
          <a:ext cx="2562225" cy="6286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The problem with this example from the last worksheet is partly to do with the fact that the first cashflow is positive rather than negative</a:t>
          </a:r>
        </a:p>
      </xdr:txBody>
    </xdr:sp>
    <xdr:clientData/>
  </xdr:oneCellAnchor>
  <xdr:oneCellAnchor>
    <xdr:from>
      <xdr:col>7</xdr:col>
      <xdr:colOff>304800</xdr:colOff>
      <xdr:row>32</xdr:row>
      <xdr:rowOff>57150</xdr:rowOff>
    </xdr:from>
    <xdr:ext cx="2562225" cy="933450"/>
    <xdr:sp>
      <xdr:nvSpPr>
        <xdr:cNvPr id="2" name="Text Box 2"/>
        <xdr:cNvSpPr txBox="1">
          <a:spLocks noChangeArrowheads="1"/>
        </xdr:cNvSpPr>
      </xdr:nvSpPr>
      <xdr:spPr>
        <a:xfrm>
          <a:off x="3190875" y="4848225"/>
          <a:ext cx="2562225" cy="9334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As long as the periodicity is retained intact, this should not affect the IRR significantly.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Although it seems to work better than guessing, note that the second IRR (recognised on the last worksheet) is no longer identified.</a:t>
          </a:r>
        </a:p>
      </xdr:txBody>
    </xdr:sp>
    <xdr:clientData/>
  </xdr:oneCellAnchor>
  <xdr:twoCellAnchor>
    <xdr:from>
      <xdr:col>11</xdr:col>
      <xdr:colOff>0</xdr:colOff>
      <xdr:row>6</xdr:row>
      <xdr:rowOff>0</xdr:rowOff>
    </xdr:from>
    <xdr:to>
      <xdr:col>18</xdr:col>
      <xdr:colOff>238125</xdr:colOff>
      <xdr:row>24</xdr:row>
      <xdr:rowOff>123825</xdr:rowOff>
    </xdr:to>
    <xdr:graphicFrame>
      <xdr:nvGraphicFramePr>
        <xdr:cNvPr id="3" name="Chart 6"/>
        <xdr:cNvGraphicFramePr/>
      </xdr:nvGraphicFramePr>
      <xdr:xfrm>
        <a:off x="5934075" y="101917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438150</xdr:colOff>
      <xdr:row>15</xdr:row>
      <xdr:rowOff>95250</xdr:rowOff>
    </xdr:from>
    <xdr:ext cx="2562225" cy="314325"/>
    <xdr:sp>
      <xdr:nvSpPr>
        <xdr:cNvPr id="1" name="Text Box 2"/>
        <xdr:cNvSpPr txBox="1">
          <a:spLocks noChangeArrowheads="1"/>
        </xdr:cNvSpPr>
      </xdr:nvSpPr>
      <xdr:spPr>
        <a:xfrm>
          <a:off x="3324225" y="2428875"/>
          <a:ext cx="2562225" cy="3143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Original example again.</a:t>
          </a:r>
        </a:p>
      </xdr:txBody>
    </xdr:sp>
    <xdr:clientData/>
  </xdr:oneCellAnchor>
  <xdr:oneCellAnchor>
    <xdr:from>
      <xdr:col>7</xdr:col>
      <xdr:colOff>438150</xdr:colOff>
      <xdr:row>29</xdr:row>
      <xdr:rowOff>9525</xdr:rowOff>
    </xdr:from>
    <xdr:ext cx="2562225" cy="1143000"/>
    <xdr:sp>
      <xdr:nvSpPr>
        <xdr:cNvPr id="2" name="Text Box 2"/>
        <xdr:cNvSpPr txBox="1">
          <a:spLocks noChangeArrowheads="1"/>
        </xdr:cNvSpPr>
      </xdr:nvSpPr>
      <xdr:spPr>
        <a:xfrm>
          <a:off x="3324225" y="4352925"/>
          <a:ext cx="2562225" cy="11430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Even with the dates mixed up, having the negative first gets the right answer for XIRR.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Obviously, IRR will not work as dates are not taken into account.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Note XNPV requires the first date to be the start date (which is not the case here).
</a:t>
          </a:r>
        </a:p>
      </xdr:txBody>
    </xdr:sp>
    <xdr:clientData/>
  </xdr:oneCellAnchor>
  <xdr:oneCellAnchor>
    <xdr:from>
      <xdr:col>7</xdr:col>
      <xdr:colOff>438150</xdr:colOff>
      <xdr:row>42</xdr:row>
      <xdr:rowOff>142875</xdr:rowOff>
    </xdr:from>
    <xdr:ext cx="2562225" cy="1066800"/>
    <xdr:sp>
      <xdr:nvSpPr>
        <xdr:cNvPr id="3" name="Text Box 2"/>
        <xdr:cNvSpPr txBox="1">
          <a:spLocks noChangeArrowheads="1"/>
        </xdr:cNvSpPr>
      </xdr:nvSpPr>
      <xdr:spPr>
        <a:xfrm>
          <a:off x="3324225" y="6353175"/>
          <a:ext cx="2562225" cy="10668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However, this mixing up of data can only be pushed so far as this example demonstrates.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According to the documentation, the first date is supposed to be the start date.  Other data can then be entered in any order as long as the dates are later than the first date.</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161925</xdr:colOff>
      <xdr:row>13</xdr:row>
      <xdr:rowOff>9525</xdr:rowOff>
    </xdr:from>
    <xdr:ext cx="2562225" cy="466725"/>
    <xdr:sp>
      <xdr:nvSpPr>
        <xdr:cNvPr id="1" name="Text Box 2"/>
        <xdr:cNvSpPr txBox="1">
          <a:spLocks noChangeArrowheads="1"/>
        </xdr:cNvSpPr>
      </xdr:nvSpPr>
      <xdr:spPr>
        <a:xfrm>
          <a:off x="3009900" y="2095500"/>
          <a:ext cx="2562225" cy="4667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This start date is deliberately calculated as  midnight on 1 January of the next non-leap year (to avoid additional comparison issues)</a:t>
          </a:r>
        </a:p>
      </xdr:txBody>
    </xdr:sp>
    <xdr:clientData/>
  </xdr:oneCellAnchor>
  <xdr:oneCellAnchor>
    <xdr:from>
      <xdr:col>7</xdr:col>
      <xdr:colOff>161925</xdr:colOff>
      <xdr:row>19</xdr:row>
      <xdr:rowOff>123825</xdr:rowOff>
    </xdr:from>
    <xdr:ext cx="2562225" cy="466725"/>
    <xdr:sp>
      <xdr:nvSpPr>
        <xdr:cNvPr id="2" name="Text Box 2"/>
        <xdr:cNvSpPr txBox="1">
          <a:spLocks noChangeArrowheads="1"/>
        </xdr:cNvSpPr>
      </xdr:nvSpPr>
      <xdr:spPr>
        <a:xfrm>
          <a:off x="3009900" y="3114675"/>
          <a:ext cx="2562225" cy="4667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Used to verify the gap between start and end dates is precisely 365 days.</a:t>
          </a:r>
        </a:p>
      </xdr:txBody>
    </xdr:sp>
    <xdr:clientData/>
  </xdr:oneCellAnchor>
  <xdr:oneCellAnchor>
    <xdr:from>
      <xdr:col>7</xdr:col>
      <xdr:colOff>161925</xdr:colOff>
      <xdr:row>25</xdr:row>
      <xdr:rowOff>47625</xdr:rowOff>
    </xdr:from>
    <xdr:ext cx="2562225" cy="942975"/>
    <xdr:sp>
      <xdr:nvSpPr>
        <xdr:cNvPr id="3" name="Text Box 2"/>
        <xdr:cNvSpPr txBox="1">
          <a:spLocks noChangeArrowheads="1"/>
        </xdr:cNvSpPr>
      </xdr:nvSpPr>
      <xdr:spPr>
        <a:xfrm>
          <a:off x="3009900" y="3905250"/>
          <a:ext cx="2562225" cy="9429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XIRR gives a closer approximation to the Internal Rate of Return according to XNPV.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"Accuracy Factor" is a rough and ready approach to show how many times larger the IRR NPV is compared to the XIRR NPV.</a:t>
          </a:r>
        </a:p>
      </xdr:txBody>
    </xdr:sp>
    <xdr:clientData/>
  </xdr:oneCellAnchor>
  <xdr:oneCellAnchor>
    <xdr:from>
      <xdr:col>8</xdr:col>
      <xdr:colOff>219075</xdr:colOff>
      <xdr:row>44</xdr:row>
      <xdr:rowOff>76200</xdr:rowOff>
    </xdr:from>
    <xdr:ext cx="2562225" cy="1171575"/>
    <xdr:sp>
      <xdr:nvSpPr>
        <xdr:cNvPr id="4" name="Text Box 2"/>
        <xdr:cNvSpPr txBox="1">
          <a:spLocks noChangeArrowheads="1"/>
        </xdr:cNvSpPr>
      </xdr:nvSpPr>
      <xdr:spPr>
        <a:xfrm>
          <a:off x="3876675" y="6867525"/>
          <a:ext cx="2562225" cy="11715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XIRR truncates dates (see the Excel Help documentation for further details).
IRR is actually more accurate here, as a full manual work through demonstrates.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XNPV check relies on the same logic as XIRR, i.e. it </a:t>
          </a:r>
          <a:r>
            <a:rPr lang="en-US" cap="none" sz="800" b="1" i="0" u="sng" baseline="0">
              <a:solidFill>
                <a:srgbClr val="000000"/>
              </a:solidFill>
              <a:latin typeface="Tahoma"/>
              <a:ea typeface="Tahoma"/>
              <a:cs typeface="Tahoma"/>
            </a:rPr>
            <a:t>cannot</a:t>
          </a:r>
          <a:r>
            <a:rPr lang="en-US" cap="none" sz="800" b="0" i="0" u="none" baseline="0">
              <a:solidFill>
                <a:srgbClr val="000000"/>
              </a:solidFill>
              <a:latin typeface="Tahoma"/>
              <a:ea typeface="Tahoma"/>
              <a:cs typeface="Tahoma"/>
            </a:rPr>
            <a:t> be relied upon.</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8</xdr:row>
      <xdr:rowOff>0</xdr:rowOff>
    </xdr:from>
    <xdr:ext cx="2562225" cy="466725"/>
    <xdr:sp>
      <xdr:nvSpPr>
        <xdr:cNvPr id="1" name="Text Box 2"/>
        <xdr:cNvSpPr txBox="1">
          <a:spLocks noChangeArrowheads="1"/>
        </xdr:cNvSpPr>
      </xdr:nvSpPr>
      <xdr:spPr>
        <a:xfrm>
          <a:off x="8162925" y="1323975"/>
          <a:ext cx="2562225" cy="4667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This table  highlights some of the different errors that may befall IRR and XIRR.</a:t>
          </a:r>
        </a:p>
      </xdr:txBody>
    </xdr:sp>
    <xdr:clientData/>
  </xdr:oneCellAnchor>
  <xdr:oneCellAnchor>
    <xdr:from>
      <xdr:col>13</xdr:col>
      <xdr:colOff>0</xdr:colOff>
      <xdr:row>40</xdr:row>
      <xdr:rowOff>57150</xdr:rowOff>
    </xdr:from>
    <xdr:ext cx="2562225" cy="885825"/>
    <xdr:sp>
      <xdr:nvSpPr>
        <xdr:cNvPr id="2" name="Text Box 2"/>
        <xdr:cNvSpPr txBox="1">
          <a:spLocks noChangeArrowheads="1"/>
        </xdr:cNvSpPr>
      </xdr:nvSpPr>
      <xdr:spPr>
        <a:xfrm>
          <a:off x="8162925" y="6257925"/>
          <a:ext cx="2562225" cy="8858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This table demonstrates  a check for the values in columns S, T and U (simply change the values in the drop down boxes in cells E44 and E45).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This table may be modified to drive GOAL SEEK solutions.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BPM\bpmToolbox\bpmToolbox%205.0.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essories"/>
      <sheetName val="Base Workbook"/>
      <sheetName val="Color Palette"/>
      <sheetName val="Options"/>
      <sheetName val="Page Setup"/>
      <sheetName val="Styles"/>
      <sheetName val="Formats &amp; Styles Key BO"/>
      <sheetName val="Sheet Naming Key BO"/>
      <sheetName val="Range Naming Key B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hyperlink" Target="http://www.sumproduct.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showGridLines="0" tabSelected="1"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6" t="s">
        <v>2</v>
      </c>
    </row>
    <row r="9" ht="18">
      <c r="C9" s="2" t="s">
        <v>134</v>
      </c>
    </row>
    <row r="10" ht="15.75">
      <c r="C10" s="1" t="s">
        <v>23</v>
      </c>
    </row>
    <row r="11" spans="3:6" ht="11.25">
      <c r="C11" s="102" t="s">
        <v>3</v>
      </c>
      <c r="D11" s="102"/>
      <c r="E11" s="102"/>
      <c r="F11" s="102"/>
    </row>
    <row r="19" ht="11.25">
      <c r="C19" s="3" t="s">
        <v>0</v>
      </c>
    </row>
    <row r="21" ht="11.25">
      <c r="C21" s="3" t="s">
        <v>1</v>
      </c>
    </row>
    <row r="22" ht="11.25">
      <c r="C22" s="4" t="s">
        <v>24</v>
      </c>
    </row>
    <row r="23" ht="11.25">
      <c r="C23" s="4"/>
    </row>
    <row r="24" spans="3:9" ht="11.25">
      <c r="C24" s="4" t="s">
        <v>16</v>
      </c>
      <c r="G24" s="102" t="s">
        <v>133</v>
      </c>
      <c r="H24" s="102"/>
      <c r="I24" s="102"/>
    </row>
    <row r="25" spans="3:9" ht="11.25">
      <c r="C25" s="4" t="s">
        <v>17</v>
      </c>
      <c r="G25" s="102" t="s">
        <v>19</v>
      </c>
      <c r="H25" s="102"/>
      <c r="I25" s="102"/>
    </row>
    <row r="26" spans="3:9" ht="11.25">
      <c r="C26" s="4" t="s">
        <v>18</v>
      </c>
      <c r="G26" s="102" t="s">
        <v>19</v>
      </c>
      <c r="H26" s="102"/>
      <c r="I26" s="102"/>
    </row>
  </sheetData>
  <sheetProtection/>
  <mergeCells count="4">
    <mergeCell ref="G25:I25"/>
    <mergeCell ref="G26:I26"/>
    <mergeCell ref="C11:F11"/>
    <mergeCell ref="G24:I24"/>
  </mergeCells>
  <hyperlinks>
    <hyperlink ref="G24" r:id="rId1" display="liam.bastick@sumproduct.com"/>
    <hyperlink ref="G25" r:id="rId2" display="www.sumproduct.com"/>
    <hyperlink ref="G26" r:id="rId3" display="www.sumproduct.com"/>
    <hyperlink ref="C11" location="HL_Home" tooltip="Go to Table of Contents" display="HL_Home"/>
  </hyperlinks>
  <printOptions/>
  <pageMargins left="0.393700787401575" right="0.393700787401575" top="0.5905511811023625" bottom="0.9842519685039375" header="0" footer="0.3149606299212597"/>
  <pageSetup fitToHeight="1" fitToWidth="1" horizontalDpi="200" verticalDpi="200" orientation="portrait" paperSize="9" scale="81" r:id="rId5"/>
  <drawing r:id="rId4"/>
</worksheet>
</file>

<file path=xl/worksheets/sheet10.xml><?xml version="1.0" encoding="utf-8"?>
<worksheet xmlns="http://schemas.openxmlformats.org/spreadsheetml/2006/main" xmlns:r="http://schemas.openxmlformats.org/officeDocument/2006/relationships">
  <dimension ref="A1:H53"/>
  <sheetViews>
    <sheetView showGridLines="0" zoomScalePageLayoutView="0" workbookViewId="0" topLeftCell="A1">
      <selection activeCell="A1" sqref="A1"/>
    </sheetView>
  </sheetViews>
  <sheetFormatPr defaultColWidth="10.83203125" defaultRowHeight="11.25"/>
  <cols>
    <col min="1" max="5" width="3.83203125" style="11" customWidth="1"/>
    <col min="6" max="6" width="19.16015625" style="11" customWidth="1"/>
    <col min="7" max="7" width="12.16015625" style="11" bestFit="1" customWidth="1"/>
    <col min="8" max="8" width="18" style="11" bestFit="1" customWidth="1"/>
    <col min="9" max="10" width="10.83203125" style="11" customWidth="1"/>
    <col min="11" max="11" width="13.66015625" style="11" bestFit="1" customWidth="1"/>
    <col min="12" max="16384" width="10.83203125" style="11" customWidth="1"/>
  </cols>
  <sheetData>
    <row r="1" spans="1:2" ht="18">
      <c r="A1" s="32" t="s">
        <v>20</v>
      </c>
      <c r="B1" s="13" t="s">
        <v>51</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Order makes a difference</v>
      </c>
    </row>
    <row r="9" ht="12">
      <c r="C9" s="36" t="s">
        <v>32</v>
      </c>
    </row>
    <row r="11" spans="6:7" ht="11.25">
      <c r="F11" s="40" t="str">
        <f>Unreliable_XNPV_Check_BA!F11</f>
        <v>Days in Year</v>
      </c>
      <c r="G11" s="11">
        <f>Unreliable_XNPV_Check_BA!G11</f>
        <v>365</v>
      </c>
    </row>
    <row r="13" ht="11.25">
      <c r="F13" s="50" t="s">
        <v>43</v>
      </c>
    </row>
    <row r="14" spans="6:7" ht="11.25">
      <c r="F14" s="45">
        <f ca="1">DATE(YEAR(TODAY())+1+IF(MOD(YEAR(TODAY()),Leap_Year_Divisor)=Leap_Year_Divisor-1,1,0),1,1)</f>
        <v>41275</v>
      </c>
      <c r="G14" s="49">
        <f>Value_Not_Right_BA!G14</f>
        <v>5000</v>
      </c>
    </row>
    <row r="15" spans="6:7" ht="11.25">
      <c r="F15" s="46">
        <f>F14+$G$11</f>
        <v>41640</v>
      </c>
      <c r="G15" s="49">
        <f>Value_Not_Right_BA!G15</f>
        <v>-55000</v>
      </c>
    </row>
    <row r="16" spans="6:7" ht="11.25">
      <c r="F16" s="46">
        <f>F15+$G$11</f>
        <v>42005</v>
      </c>
      <c r="G16" s="49">
        <f>Value_Not_Right_BA!G16</f>
        <v>10000</v>
      </c>
    </row>
    <row r="17" spans="6:7" ht="11.25">
      <c r="F17" s="46">
        <f>F16+$G$11</f>
        <v>42370</v>
      </c>
      <c r="G17" s="49">
        <f>Value_Not_Right_BA!G17</f>
        <v>60000</v>
      </c>
    </row>
    <row r="18" ht="11.25"/>
    <row r="19" spans="6:7" ht="11.25">
      <c r="F19" s="11" t="s">
        <v>26</v>
      </c>
      <c r="G19" s="11">
        <f>XIRR(G14:G17,F14:F17)</f>
        <v>2.9802322387695314E-09</v>
      </c>
    </row>
    <row r="20" spans="6:7" ht="11.25">
      <c r="F20" s="11" t="str">
        <f>"XNPV using "&amp;F19</f>
        <v>XNPV using XIRR</v>
      </c>
      <c r="G20" s="49">
        <f>XNPV(G19,G14:G17,F14:F17)</f>
        <v>19999.999567866325</v>
      </c>
    </row>
    <row r="21" ht="11.25">
      <c r="G21" s="49"/>
    </row>
    <row r="22" spans="6:7" ht="11.25">
      <c r="F22" s="11" t="s">
        <v>27</v>
      </c>
      <c r="G22" s="48">
        <f>IRR(G14:G17)</f>
        <v>0.2142677537534971</v>
      </c>
    </row>
    <row r="23" spans="6:7" ht="11.25">
      <c r="F23" s="11" t="str">
        <f>"XNPV using "&amp;F22</f>
        <v>XNPV using IRR</v>
      </c>
      <c r="G23" s="49">
        <f>XNPV(G22,G14:G17,F14:F17)</f>
        <v>5.238689482212067E-10</v>
      </c>
    </row>
    <row r="26" ht="12">
      <c r="C26" s="36" t="s">
        <v>52</v>
      </c>
    </row>
    <row r="28" spans="6:7" ht="11.25">
      <c r="F28" s="40" t="str">
        <f>F13</f>
        <v>Dates</v>
      </c>
      <c r="G28" s="49"/>
    </row>
    <row r="29" spans="6:7" ht="11.25">
      <c r="F29" s="45">
        <f>F15</f>
        <v>41640</v>
      </c>
      <c r="G29" s="49">
        <f>G15</f>
        <v>-55000</v>
      </c>
    </row>
    <row r="30" spans="6:7" ht="11.25">
      <c r="F30" s="46">
        <f>F14</f>
        <v>41275</v>
      </c>
      <c r="G30" s="49">
        <f>G14</f>
        <v>5000</v>
      </c>
    </row>
    <row r="31" spans="6:7" ht="11.25">
      <c r="F31" s="46">
        <f>F17</f>
        <v>42370</v>
      </c>
      <c r="G31" s="49">
        <f>G17</f>
        <v>60000</v>
      </c>
    </row>
    <row r="32" spans="6:7" ht="11.25">
      <c r="F32" s="46">
        <f>F16</f>
        <v>42005</v>
      </c>
      <c r="G32" s="49">
        <f>G16</f>
        <v>10000</v>
      </c>
    </row>
    <row r="33" ht="11.25"/>
    <row r="34" spans="6:7" ht="11.25">
      <c r="F34" s="11" t="s">
        <v>26</v>
      </c>
      <c r="G34" s="48">
        <f>XIRR(G29:G32,F29:F32,G37)</f>
        <v>0.214267757732006</v>
      </c>
    </row>
    <row r="35" spans="6:7" ht="11.25">
      <c r="F35" s="11" t="str">
        <f>"XNPV using "&amp;F34</f>
        <v>XNPV using XIRR</v>
      </c>
      <c r="G35" s="49" t="e">
        <f>XNPV(G34,G29:G32,F29:F32)</f>
        <v>#NUM!</v>
      </c>
    </row>
    <row r="36" ht="11.25">
      <c r="G36" s="49"/>
    </row>
    <row r="37" spans="6:8" ht="11.25">
      <c r="F37" s="11" t="s">
        <v>27</v>
      </c>
      <c r="G37" s="48">
        <f>IRR(G29:G32)</f>
        <v>0.1631700069456569</v>
      </c>
      <c r="H37" s="51"/>
    </row>
    <row r="38" spans="6:7" ht="11.25">
      <c r="F38" s="11" t="str">
        <f>"XNPV using "&amp;F37</f>
        <v>XNPV using IRR</v>
      </c>
      <c r="G38" s="49" t="e">
        <f>XNPV(G37,G29:G32,F29:F32)</f>
        <v>#NUM!</v>
      </c>
    </row>
    <row r="41" ht="12">
      <c r="C41" s="36" t="s">
        <v>53</v>
      </c>
    </row>
    <row r="43" spans="6:7" ht="11.25">
      <c r="F43" s="40" t="str">
        <f>F28</f>
        <v>Dates</v>
      </c>
      <c r="G43" s="49"/>
    </row>
    <row r="44" spans="6:7" ht="11.25">
      <c r="F44" s="45">
        <f>F17</f>
        <v>42370</v>
      </c>
      <c r="G44" s="49">
        <f>G17</f>
        <v>60000</v>
      </c>
    </row>
    <row r="45" spans="6:7" ht="11.25">
      <c r="F45" s="46">
        <f>F16</f>
        <v>42005</v>
      </c>
      <c r="G45" s="49">
        <f>G16</f>
        <v>10000</v>
      </c>
    </row>
    <row r="46" spans="6:7" ht="11.25">
      <c r="F46" s="46">
        <f>F15</f>
        <v>41640</v>
      </c>
      <c r="G46" s="49">
        <f>G15</f>
        <v>-55000</v>
      </c>
    </row>
    <row r="47" spans="6:7" ht="11.25">
      <c r="F47" s="46">
        <f>F14</f>
        <v>41275</v>
      </c>
      <c r="G47" s="49">
        <f>G14</f>
        <v>5000</v>
      </c>
    </row>
    <row r="48" ht="11.25"/>
    <row r="49" spans="6:7" ht="11.25">
      <c r="F49" s="11" t="s">
        <v>26</v>
      </c>
      <c r="G49" s="54" t="e">
        <f>XIRR(G44:G47,F44:F47,0.214267753753497)</f>
        <v>#NUM!</v>
      </c>
    </row>
    <row r="50" spans="6:7" ht="11.25">
      <c r="F50" s="11" t="str">
        <f>"XNPV using "&amp;F49</f>
        <v>XNPV using XIRR</v>
      </c>
      <c r="G50" s="49" t="e">
        <f>XNPV(G49,G44:G47,F44:F47)</f>
        <v>#NUM!</v>
      </c>
    </row>
    <row r="51" ht="11.25">
      <c r="G51" s="49"/>
    </row>
    <row r="52" spans="6:7" ht="11.25">
      <c r="F52" s="11" t="s">
        <v>27</v>
      </c>
      <c r="G52" s="48">
        <f>IRR(G44:G47)</f>
        <v>-0.17645840720975128</v>
      </c>
    </row>
    <row r="53" spans="6:7" ht="11.25">
      <c r="F53" s="11" t="str">
        <f>"XNPV using "&amp;F52</f>
        <v>XNPV using IRR</v>
      </c>
      <c r="G53" s="49" t="e">
        <f>XNPV(G52,G44:G47,F44:F47)</f>
        <v>#NUM!</v>
      </c>
    </row>
  </sheetData>
  <sheetProtection/>
  <mergeCells count="1">
    <mergeCell ref="B3:F3"/>
  </mergeCells>
  <hyperlinks>
    <hyperlink ref="B3" location="HL_Home" tooltip="Go to Table of Contents" display="HL_Home"/>
    <hyperlink ref="A4" location="$B$5" tooltip="Go to Top of Sheet" display="$B$5"/>
    <hyperlink ref="B4" location="'Positive_Numbers_BA'!A1" tooltip="Go to Previous Sheet" display="'Positive_Numbers_BA'!A1"/>
    <hyperlink ref="C4" location="'Unreliable_XNPV_Check_BA'!A1" tooltip="Go to Next Sheet" display="'Unreliable_XNPV_Check_BA'!A1"/>
  </hyperlinks>
  <printOptions/>
  <pageMargins left="0.3937007874015748" right="0.3937007874015748" top="0.5905511811023623" bottom="0.984251968503937" header="0" footer="0.31496062992125984"/>
  <pageSetup horizontalDpi="600" verticalDpi="600" orientation="portrait" paperSize="9" scale="94" r:id="rId2"/>
  <headerFooter>
    <oddFooter>&amp;L&amp;"Arial,Bold"&amp;7&amp;F
&amp;A
Printed: &amp;T on &amp;D&amp;C&amp;"Arial,Bold"&amp;10Page &amp;P of &amp;N</oddFooter>
  </headerFooter>
  <drawing r:id="rId1"/>
</worksheet>
</file>

<file path=xl/worksheets/sheet11.xml><?xml version="1.0" encoding="utf-8"?>
<worksheet xmlns="http://schemas.openxmlformats.org/spreadsheetml/2006/main" xmlns:r="http://schemas.openxmlformats.org/officeDocument/2006/relationships">
  <dimension ref="A1:L61"/>
  <sheetViews>
    <sheetView showGridLines="0" zoomScalePageLayoutView="0" workbookViewId="0" topLeftCell="A1">
      <selection activeCell="A1" sqref="A1"/>
    </sheetView>
  </sheetViews>
  <sheetFormatPr defaultColWidth="10.83203125" defaultRowHeight="11.25"/>
  <cols>
    <col min="1" max="5" width="3.83203125" style="11" customWidth="1"/>
    <col min="6" max="6" width="19.16015625" style="11" customWidth="1"/>
    <col min="7" max="7" width="11.5" style="11" bestFit="1" customWidth="1"/>
    <col min="8" max="8" width="14.16015625" style="11" bestFit="1" customWidth="1"/>
    <col min="9" max="10" width="10.83203125" style="11" customWidth="1"/>
    <col min="11" max="11" width="13.66015625" style="11" bestFit="1" customWidth="1"/>
    <col min="12" max="16384" width="10.83203125" style="11" customWidth="1"/>
  </cols>
  <sheetData>
    <row r="1" spans="1:2" ht="18">
      <c r="A1" s="32" t="s">
        <v>20</v>
      </c>
      <c r="B1" s="13" t="s">
        <v>40</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XNPV is not a reliable check</v>
      </c>
    </row>
    <row r="9" ht="12">
      <c r="C9" s="36" t="s">
        <v>32</v>
      </c>
    </row>
    <row r="10" ht="12" thickBot="1"/>
    <row r="11" spans="6:7" ht="12" thickBot="1">
      <c r="F11" s="11" t="s">
        <v>28</v>
      </c>
      <c r="G11" s="27">
        <v>365</v>
      </c>
    </row>
    <row r="12" spans="6:7" ht="12" thickBot="1">
      <c r="F12" s="11" t="s">
        <v>29</v>
      </c>
      <c r="G12" s="27">
        <v>4</v>
      </c>
    </row>
    <row r="13" spans="6:7" ht="12" thickBot="1">
      <c r="F13" s="11" t="s">
        <v>31</v>
      </c>
      <c r="G13" s="27">
        <v>4</v>
      </c>
    </row>
    <row r="14" ht="11.25"/>
    <row r="15" ht="12" thickBot="1"/>
    <row r="16" spans="6:7" ht="12" thickBot="1">
      <c r="F16" s="35">
        <f ca="1">DATE(YEAR(TODAY())+1+IF(MOD(YEAR(TODAY()),Leap_Year_Divisor)=Leap_Year_Divisor-1,1,0),1,1)</f>
        <v>41275</v>
      </c>
      <c r="G16" s="28">
        <v>-100</v>
      </c>
    </row>
    <row r="17" spans="6:7" ht="12" thickBot="1">
      <c r="F17" s="35">
        <f>F16+(Days_in_Year/Quarters_in_Year)</f>
        <v>41366.25</v>
      </c>
      <c r="G17" s="28">
        <v>5</v>
      </c>
    </row>
    <row r="18" spans="6:7" ht="12" thickBot="1">
      <c r="F18" s="35">
        <f>F17+(Days_in_Year/Quarters_in_Year)</f>
        <v>41457.5</v>
      </c>
      <c r="G18" s="28">
        <v>5</v>
      </c>
    </row>
    <row r="19" spans="6:7" ht="12" thickBot="1">
      <c r="F19" s="35">
        <f>F18+(Days_in_Year/Quarters_in_Year)</f>
        <v>41548.75</v>
      </c>
      <c r="G19" s="28">
        <v>5</v>
      </c>
    </row>
    <row r="20" spans="6:7" ht="12" thickBot="1">
      <c r="F20" s="35">
        <f>F19+(Days_in_Year/Quarters_in_Year)</f>
        <v>41640</v>
      </c>
      <c r="G20" s="28">
        <v>120</v>
      </c>
    </row>
    <row r="21" ht="11.25"/>
    <row r="22" spans="6:7" ht="11.25">
      <c r="F22" s="11" t="s">
        <v>30</v>
      </c>
      <c r="G22" s="11">
        <f>F20-F16</f>
        <v>365</v>
      </c>
    </row>
    <row r="23" ht="11.25"/>
    <row r="24" spans="6:7" ht="11.25">
      <c r="F24" s="11" t="s">
        <v>26</v>
      </c>
      <c r="G24" s="33">
        <f>XIRR(G16:G20,F16:F20)</f>
        <v>0.37643173336982727</v>
      </c>
    </row>
    <row r="25" spans="6:7" ht="11.25">
      <c r="F25" s="11" t="s">
        <v>27</v>
      </c>
      <c r="G25" s="33">
        <f>(1+IRR(G16:G20))^Quarters_in_Year-1</f>
        <v>0.37635129304586834</v>
      </c>
    </row>
    <row r="26" ht="11.25"/>
    <row r="27" spans="6:7" ht="11.25">
      <c r="F27" s="11" t="str">
        <f>"XNPV using "&amp;F24</f>
        <v>XNPV using XIRR</v>
      </c>
      <c r="G27" s="34">
        <f>XNPV($G24,$G$16:$G$20,$F$16:$F$20)</f>
        <v>6.504174621113634E-08</v>
      </c>
    </row>
    <row r="28" spans="6:7" ht="11.25">
      <c r="F28" s="11" t="str">
        <f>"XNPV using "&amp;F25</f>
        <v>XNPV using IRR</v>
      </c>
      <c r="G28" s="34">
        <f>XNPV($G25,$G$16:$G$20,$F$16:$F$20)</f>
        <v>0.005459015081584084</v>
      </c>
    </row>
    <row r="29" ht="11.25"/>
    <row r="30" spans="6:7" ht="11.25">
      <c r="F30" s="11" t="s">
        <v>33</v>
      </c>
      <c r="G30" s="60">
        <f>ABS(G28/G27)</f>
        <v>83930.94281114796</v>
      </c>
    </row>
    <row r="31" ht="11.25"/>
    <row r="32" spans="2:4" ht="27" thickBot="1">
      <c r="B32" s="108" t="s">
        <v>41</v>
      </c>
      <c r="C32" s="108"/>
      <c r="D32" s="108"/>
    </row>
    <row r="33" ht="12" thickTop="1"/>
    <row r="34" ht="12">
      <c r="C34" s="36" t="s">
        <v>34</v>
      </c>
    </row>
    <row r="36" ht="11.25">
      <c r="D36" s="38" t="str">
        <f>F24&amp;" Rate"</f>
        <v>XIRR Rate</v>
      </c>
    </row>
    <row r="38" spans="6:7" ht="11.25">
      <c r="F38" s="11" t="str">
        <f>D36</f>
        <v>XIRR Rate</v>
      </c>
      <c r="G38" s="39">
        <f>G24</f>
        <v>0.37643173336982727</v>
      </c>
    </row>
    <row r="39" spans="6:7" ht="11.25">
      <c r="F39" s="11" t="s">
        <v>35</v>
      </c>
      <c r="G39" s="39">
        <f>(1+G38)^(1/Quarters_in_Year)-1</f>
        <v>0.08315016238657957</v>
      </c>
    </row>
    <row r="41" spans="6:12" ht="11.25">
      <c r="F41" s="40" t="s">
        <v>36</v>
      </c>
      <c r="H41" s="40">
        <v>0</v>
      </c>
      <c r="I41" s="40">
        <f>H41+1</f>
        <v>1</v>
      </c>
      <c r="J41" s="40">
        <f>I41+1</f>
        <v>2</v>
      </c>
      <c r="K41" s="40">
        <f>J41+1</f>
        <v>3</v>
      </c>
      <c r="L41" s="40">
        <f>K41+1</f>
        <v>4</v>
      </c>
    </row>
    <row r="42" spans="6:12" ht="11.25">
      <c r="F42" s="11" t="s">
        <v>37</v>
      </c>
      <c r="H42" s="41">
        <f ca="1">OFFSET($G$16,H41,)</f>
        <v>-100</v>
      </c>
      <c r="I42" s="41">
        <f ca="1">OFFSET($G$16,I41,)</f>
        <v>5</v>
      </c>
      <c r="J42" s="41">
        <f ca="1">OFFSET($G$16,J41,)</f>
        <v>5</v>
      </c>
      <c r="K42" s="41">
        <f ca="1">OFFSET($G$16,K41,)</f>
        <v>5</v>
      </c>
      <c r="L42" s="41">
        <f ca="1">OFFSET($G$16,L41,)</f>
        <v>120</v>
      </c>
    </row>
    <row r="43" spans="6:12" ht="11.25">
      <c r="F43" s="11" t="s">
        <v>38</v>
      </c>
      <c r="H43" s="43">
        <f>1/(1+$G39)^H41</f>
        <v>1</v>
      </c>
      <c r="I43" s="43">
        <f>1/(1+$G39)^I41</f>
        <v>0.9232330241234797</v>
      </c>
      <c r="J43" s="43">
        <f>1/(1+$G39)^J41</f>
        <v>0.8523592168321856</v>
      </c>
      <c r="K43" s="43">
        <f>1/(1+$G39)^K41</f>
        <v>0.7869261773954995</v>
      </c>
      <c r="L43" s="43">
        <f>1/(1+$G39)^L41</f>
        <v>0.7265162345187769</v>
      </c>
    </row>
    <row r="44" spans="6:12" ht="11.25">
      <c r="F44" s="42" t="str">
        <f>"Present Value of "&amp;F42</f>
        <v>Present Value of Cashflows</v>
      </c>
      <c r="H44" s="41">
        <f>H42*H43</f>
        <v>-100</v>
      </c>
      <c r="I44" s="41">
        <f>I42*I43</f>
        <v>4.616165120617398</v>
      </c>
      <c r="J44" s="41">
        <f>J42*J43</f>
        <v>4.261796084160928</v>
      </c>
      <c r="K44" s="41">
        <f>K42*K43</f>
        <v>3.9346308869774975</v>
      </c>
      <c r="L44" s="41">
        <f>L42*L43</f>
        <v>87.18194814225323</v>
      </c>
    </row>
    <row r="45" ht="11.25"/>
    <row r="46" spans="6:8" ht="12" thickBot="1">
      <c r="F46" s="40" t="s">
        <v>39</v>
      </c>
      <c r="H46" s="44">
        <f>SUM(H44:L44)</f>
        <v>-0.005459765990934784</v>
      </c>
    </row>
    <row r="47" ht="11.25"/>
    <row r="48" ht="11.25"/>
    <row r="49" ht="11.25">
      <c r="D49" s="38" t="str">
        <f>F25&amp;" Rate"</f>
        <v>IRR Rate</v>
      </c>
    </row>
    <row r="50" ht="11.25"/>
    <row r="51" spans="6:7" ht="11.25">
      <c r="F51" s="11" t="str">
        <f>D49</f>
        <v>IRR Rate</v>
      </c>
      <c r="G51" s="39">
        <f>G25</f>
        <v>0.37635129304586834</v>
      </c>
    </row>
    <row r="52" spans="6:7" ht="11.25">
      <c r="F52" s="11" t="s">
        <v>35</v>
      </c>
      <c r="G52" s="39">
        <f>(1+G51)^(1/Quarters_in_Year)-1</f>
        <v>0.08313433689059213</v>
      </c>
    </row>
    <row r="53" ht="11.25"/>
    <row r="54" spans="6:12" ht="11.25">
      <c r="F54" s="40" t="s">
        <v>36</v>
      </c>
      <c r="H54" s="40">
        <v>0</v>
      </c>
      <c r="I54" s="40">
        <f>H54+1</f>
        <v>1</v>
      </c>
      <c r="J54" s="40">
        <f>I54+1</f>
        <v>2</v>
      </c>
      <c r="K54" s="40">
        <f>J54+1</f>
        <v>3</v>
      </c>
      <c r="L54" s="40">
        <f>K54+1</f>
        <v>4</v>
      </c>
    </row>
    <row r="55" spans="6:12" ht="11.25">
      <c r="F55" s="11" t="s">
        <v>37</v>
      </c>
      <c r="H55" s="41">
        <f ca="1">OFFSET($G$16,H54,)</f>
        <v>-100</v>
      </c>
      <c r="I55" s="41">
        <f ca="1">OFFSET($G$16,I54,)</f>
        <v>5</v>
      </c>
      <c r="J55" s="41">
        <f ca="1">OFFSET($G$16,J54,)</f>
        <v>5</v>
      </c>
      <c r="K55" s="41">
        <f ca="1">OFFSET($G$16,K54,)</f>
        <v>5</v>
      </c>
      <c r="L55" s="41">
        <f ca="1">OFFSET($G$16,L54,)</f>
        <v>120</v>
      </c>
    </row>
    <row r="56" spans="6:12" ht="11.25">
      <c r="F56" s="11" t="s">
        <v>38</v>
      </c>
      <c r="H56" s="43">
        <f>1/(1+$G52)^H54</f>
        <v>1</v>
      </c>
      <c r="I56" s="43">
        <f>1/(1+$G52)^I54</f>
        <v>0.9232465133279312</v>
      </c>
      <c r="J56" s="43">
        <f>1/(1+$G52)^J54</f>
        <v>0.8523841243721818</v>
      </c>
      <c r="K56" s="43">
        <f>1/(1+$G52)^K54</f>
        <v>0.7869606708426985</v>
      </c>
      <c r="L56" s="43">
        <f>1/(1+$G52)^L54</f>
        <v>0.7265586954817311</v>
      </c>
    </row>
    <row r="57" spans="6:12" ht="11.25">
      <c r="F57" s="42" t="str">
        <f>"Present Value of "&amp;F55</f>
        <v>Present Value of Cashflows</v>
      </c>
      <c r="H57" s="41">
        <f>H55*H56</f>
        <v>-100</v>
      </c>
      <c r="I57" s="41">
        <f>I55*I56</f>
        <v>4.616232566639656</v>
      </c>
      <c r="J57" s="41">
        <f>J55*J56</f>
        <v>4.261920621860909</v>
      </c>
      <c r="K57" s="41">
        <f>K55*K56</f>
        <v>3.9348033542134924</v>
      </c>
      <c r="L57" s="41">
        <f>L55*L56</f>
        <v>87.18704345780773</v>
      </c>
    </row>
    <row r="59" spans="6:8" ht="12" thickBot="1">
      <c r="F59" s="40" t="s">
        <v>39</v>
      </c>
      <c r="H59" s="44">
        <f>SUM(H57:L57)</f>
        <v>5.21779952578072E-10</v>
      </c>
    </row>
    <row r="61" spans="6:8" ht="11.25">
      <c r="F61" s="11" t="str">
        <f>F30</f>
        <v>Accuracy Factor</v>
      </c>
      <c r="H61" s="37">
        <f>ABS(H46/H59)</f>
        <v>10463732.774627557</v>
      </c>
    </row>
  </sheetData>
  <sheetProtection/>
  <mergeCells count="2">
    <mergeCell ref="B3:F3"/>
    <mergeCell ref="B32:D32"/>
  </mergeCells>
  <hyperlinks>
    <hyperlink ref="B3" location="HL_Home" tooltip="Go to Table of Contents" display="HL_Home"/>
    <hyperlink ref="A4" location="$B$5" tooltip="Go to Top of Sheet" display="$B$5"/>
    <hyperlink ref="B4" location="'Considering_Order_BA'!A1" tooltip="Go to Previous Sheet" display="'Considering_Order_BA'!A1"/>
    <hyperlink ref="C4" location="'XIRR_Examples_BA'!A1" tooltip="Go to Next Sheet" display="'XIRR_Examples_BA'!A1"/>
  </hyperlinks>
  <printOptions/>
  <pageMargins left="0.3937007874015748" right="0.3937007874015748" top="0.5905511811023623" bottom="0.984251968503937" header="0" footer="0.31496062992125984"/>
  <pageSetup horizontalDpi="600" verticalDpi="600" orientation="portrait" paperSize="9" scale="94" r:id="rId2"/>
  <headerFooter>
    <oddFooter>&amp;L&amp;"Arial,Bold"&amp;7&amp;F
&amp;A
Printed: &amp;T on &amp;D&amp;C&amp;"Arial,Bold"&amp;10Page &amp;P of &amp;N</oddFooter>
  </headerFooter>
  <drawing r:id="rId1"/>
</worksheet>
</file>

<file path=xl/worksheets/sheet12.xml><?xml version="1.0" encoding="utf-8"?>
<worksheet xmlns="http://schemas.openxmlformats.org/spreadsheetml/2006/main" xmlns:r="http://schemas.openxmlformats.org/officeDocument/2006/relationships">
  <dimension ref="A1:U57"/>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0.83203125" defaultRowHeight="11.25"/>
  <cols>
    <col min="1" max="3" width="3.83203125" style="11" customWidth="1"/>
    <col min="4" max="4" width="13.5" style="11" bestFit="1" customWidth="1"/>
    <col min="5" max="5" width="25.5" style="11" bestFit="1" customWidth="1"/>
    <col min="6" max="6" width="16.5" style="11" customWidth="1"/>
    <col min="7" max="17" width="10.83203125" style="11" customWidth="1"/>
    <col min="18" max="18" width="2.33203125" style="11" customWidth="1"/>
    <col min="19" max="16384" width="10.83203125" style="11" customWidth="1"/>
  </cols>
  <sheetData>
    <row r="1" spans="1:2" ht="18">
      <c r="A1" s="83" t="s">
        <v>20</v>
      </c>
      <c r="B1" s="13" t="s">
        <v>71</v>
      </c>
    </row>
    <row r="2" ht="15.75">
      <c r="B2" s="12" t="str">
        <f>Model_Name</f>
        <v>Internal Rates of Return Examples</v>
      </c>
    </row>
    <row r="3" spans="2:5" ht="11.25">
      <c r="B3" s="107" t="s">
        <v>3</v>
      </c>
      <c r="C3" s="107"/>
      <c r="D3" s="107"/>
      <c r="E3" s="107"/>
    </row>
    <row r="4" spans="1:3" ht="12.75">
      <c r="A4" s="15" t="s">
        <v>6</v>
      </c>
      <c r="B4" s="16" t="s">
        <v>9</v>
      </c>
      <c r="C4" s="17" t="s">
        <v>10</v>
      </c>
    </row>
    <row r="5" spans="1:2" ht="11.25">
      <c r="A5" s="14"/>
      <c r="B5" s="14"/>
    </row>
    <row r="6" ht="11.25">
      <c r="B6" s="14"/>
    </row>
    <row r="7" ht="12.75">
      <c r="B7" s="26" t="str">
        <f>B1</f>
        <v>XIRR Examples</v>
      </c>
    </row>
    <row r="8" ht="11.25">
      <c r="B8" s="14"/>
    </row>
    <row r="9" spans="2:3" ht="12">
      <c r="B9" s="14"/>
      <c r="C9" s="36" t="s">
        <v>72</v>
      </c>
    </row>
    <row r="10" spans="2:3" ht="12.75" thickBot="1">
      <c r="B10" s="14"/>
      <c r="C10" s="36"/>
    </row>
    <row r="11" spans="2:5" ht="12.75" thickBot="1">
      <c r="B11" s="14"/>
      <c r="C11" s="36"/>
      <c r="D11" s="62" t="s">
        <v>75</v>
      </c>
      <c r="E11" s="68">
        <v>12</v>
      </c>
    </row>
    <row r="12" spans="2:5" ht="12">
      <c r="B12" s="14"/>
      <c r="C12" s="36"/>
      <c r="D12" s="62" t="s">
        <v>28</v>
      </c>
      <c r="E12" s="72">
        <f>Days_in_Year</f>
        <v>365</v>
      </c>
    </row>
    <row r="13" ht="11.25">
      <c r="B13" s="14"/>
    </row>
    <row r="14" spans="6:21" ht="12" thickBot="1">
      <c r="F14" s="65">
        <f ca="1">DATE(YEAR(TODAY())+1+IF(MOD(YEAR(TODAY()),Leap_Year_Divisor)=Leap_Year_Divisor-1,1,0),1,1)</f>
        <v>41275</v>
      </c>
      <c r="G14" s="65">
        <f>EOMONTH(F14,0)+1</f>
        <v>41306</v>
      </c>
      <c r="H14" s="65">
        <f aca="true" t="shared" si="0" ref="H14:Q14">EOMONTH(G14,0)+1</f>
        <v>41334</v>
      </c>
      <c r="I14" s="65">
        <f t="shared" si="0"/>
        <v>41365</v>
      </c>
      <c r="J14" s="65">
        <f t="shared" si="0"/>
        <v>41395</v>
      </c>
      <c r="K14" s="65">
        <f t="shared" si="0"/>
        <v>41426</v>
      </c>
      <c r="L14" s="65">
        <f t="shared" si="0"/>
        <v>41456</v>
      </c>
      <c r="M14" s="65">
        <f t="shared" si="0"/>
        <v>41487</v>
      </c>
      <c r="N14" s="65">
        <f t="shared" si="0"/>
        <v>41518</v>
      </c>
      <c r="O14" s="65">
        <f t="shared" si="0"/>
        <v>41548</v>
      </c>
      <c r="P14" s="65">
        <f t="shared" si="0"/>
        <v>41579</v>
      </c>
      <c r="Q14" s="65">
        <f t="shared" si="0"/>
        <v>41609</v>
      </c>
      <c r="R14" s="40"/>
      <c r="S14" s="40" t="s">
        <v>26</v>
      </c>
      <c r="T14" s="40" t="s">
        <v>27</v>
      </c>
      <c r="U14" s="40" t="s">
        <v>74</v>
      </c>
    </row>
    <row r="15" spans="5:21" ht="12" thickBot="1">
      <c r="E15" s="63">
        <v>1</v>
      </c>
      <c r="F15" s="28">
        <v>-100</v>
      </c>
      <c r="G15" s="28">
        <v>-100</v>
      </c>
      <c r="H15" s="28">
        <v>-100</v>
      </c>
      <c r="I15" s="28">
        <v>-100</v>
      </c>
      <c r="J15" s="28">
        <v>-100</v>
      </c>
      <c r="K15" s="28">
        <v>-100</v>
      </c>
      <c r="L15" s="28">
        <v>-100</v>
      </c>
      <c r="M15" s="28">
        <v>-100</v>
      </c>
      <c r="N15" s="28">
        <v>-100</v>
      </c>
      <c r="O15" s="28">
        <v>-100</v>
      </c>
      <c r="P15" s="28">
        <v>-100</v>
      </c>
      <c r="Q15" s="64">
        <v>2000</v>
      </c>
      <c r="S15" s="74">
        <f>XIRR($F15:$Q15,$F$14:$Q$14)</f>
        <v>2.033354258537292</v>
      </c>
      <c r="T15" s="74">
        <f aca="true" t="shared" si="1" ref="T15:T39">(1+IRR(F15:Q15))^Months_in_Year-1</f>
        <v>2.036582542341614</v>
      </c>
      <c r="U15" s="74">
        <v>2.0333542446280193</v>
      </c>
    </row>
    <row r="16" spans="5:21" ht="12" thickBot="1">
      <c r="E16" s="63">
        <v>2</v>
      </c>
      <c r="F16" s="49">
        <f>F$15</f>
        <v>-100</v>
      </c>
      <c r="G16" s="49">
        <f aca="true" t="shared" si="2" ref="G16:P16">G$15</f>
        <v>-100</v>
      </c>
      <c r="H16" s="49">
        <f t="shared" si="2"/>
        <v>-100</v>
      </c>
      <c r="I16" s="49">
        <f t="shared" si="2"/>
        <v>-100</v>
      </c>
      <c r="J16" s="49">
        <f t="shared" si="2"/>
        <v>-100</v>
      </c>
      <c r="K16" s="49">
        <f t="shared" si="2"/>
        <v>-100</v>
      </c>
      <c r="L16" s="49">
        <f t="shared" si="2"/>
        <v>-100</v>
      </c>
      <c r="M16" s="49">
        <f t="shared" si="2"/>
        <v>-100</v>
      </c>
      <c r="N16" s="49">
        <f t="shared" si="2"/>
        <v>-100</v>
      </c>
      <c r="O16" s="49">
        <f t="shared" si="2"/>
        <v>-100</v>
      </c>
      <c r="P16" s="49">
        <f t="shared" si="2"/>
        <v>-100</v>
      </c>
      <c r="Q16" s="64">
        <v>1800</v>
      </c>
      <c r="S16" s="74">
        <f aca="true" t="shared" si="3" ref="S16:S39">XIRR($F16:$Q16,$F$14:$Q$14)</f>
        <v>1.5214951157569887</v>
      </c>
      <c r="T16" s="74">
        <f t="shared" si="1"/>
        <v>1.523859386323278</v>
      </c>
      <c r="U16" s="74">
        <v>1.521495113510756</v>
      </c>
    </row>
    <row r="17" spans="5:21" ht="12" thickBot="1">
      <c r="E17" s="63">
        <v>3</v>
      </c>
      <c r="F17" s="49">
        <f aca="true" t="shared" si="4" ref="F17:P32">F$15</f>
        <v>-100</v>
      </c>
      <c r="G17" s="49">
        <f t="shared" si="4"/>
        <v>-100</v>
      </c>
      <c r="H17" s="49">
        <f t="shared" si="4"/>
        <v>-100</v>
      </c>
      <c r="I17" s="49">
        <f t="shared" si="4"/>
        <v>-100</v>
      </c>
      <c r="J17" s="49">
        <f t="shared" si="4"/>
        <v>-100</v>
      </c>
      <c r="K17" s="49">
        <f t="shared" si="4"/>
        <v>-100</v>
      </c>
      <c r="L17" s="49">
        <f t="shared" si="4"/>
        <v>-100</v>
      </c>
      <c r="M17" s="49">
        <f t="shared" si="4"/>
        <v>-100</v>
      </c>
      <c r="N17" s="49">
        <f t="shared" si="4"/>
        <v>-100</v>
      </c>
      <c r="O17" s="49">
        <f t="shared" si="4"/>
        <v>-100</v>
      </c>
      <c r="P17" s="49">
        <f t="shared" si="4"/>
        <v>-100</v>
      </c>
      <c r="Q17" s="64">
        <v>1600</v>
      </c>
      <c r="S17" s="74">
        <f t="shared" si="3"/>
        <v>1.0407869935035707</v>
      </c>
      <c r="T17" s="74">
        <f t="shared" si="1"/>
        <v>1.0423498154065176</v>
      </c>
      <c r="U17" s="74">
        <v>1.040786982315054</v>
      </c>
    </row>
    <row r="18" spans="5:21" ht="12" thickBot="1">
      <c r="E18" s="63">
        <v>4</v>
      </c>
      <c r="F18" s="49">
        <f t="shared" si="4"/>
        <v>-100</v>
      </c>
      <c r="G18" s="49">
        <f t="shared" si="4"/>
        <v>-100</v>
      </c>
      <c r="H18" s="49">
        <f t="shared" si="4"/>
        <v>-100</v>
      </c>
      <c r="I18" s="49">
        <f t="shared" si="4"/>
        <v>-100</v>
      </c>
      <c r="J18" s="49">
        <f t="shared" si="4"/>
        <v>-100</v>
      </c>
      <c r="K18" s="49">
        <f t="shared" si="4"/>
        <v>-100</v>
      </c>
      <c r="L18" s="49">
        <f t="shared" si="4"/>
        <v>-100</v>
      </c>
      <c r="M18" s="49">
        <f t="shared" si="4"/>
        <v>-100</v>
      </c>
      <c r="N18" s="49">
        <f t="shared" si="4"/>
        <v>-100</v>
      </c>
      <c r="O18" s="49">
        <f t="shared" si="4"/>
        <v>-100</v>
      </c>
      <c r="P18" s="49">
        <f t="shared" si="4"/>
        <v>-100</v>
      </c>
      <c r="Q18" s="64">
        <v>1400</v>
      </c>
      <c r="S18" s="74">
        <f t="shared" si="3"/>
        <v>0.5946572482585909</v>
      </c>
      <c r="T18" s="74">
        <f t="shared" si="1"/>
        <v>0.5955045321477026</v>
      </c>
      <c r="U18" s="74">
        <v>0.5946572436786736</v>
      </c>
    </row>
    <row r="19" spans="5:21" ht="12" thickBot="1">
      <c r="E19" s="63">
        <v>5</v>
      </c>
      <c r="F19" s="49">
        <f t="shared" si="4"/>
        <v>-100</v>
      </c>
      <c r="G19" s="49">
        <f t="shared" si="4"/>
        <v>-100</v>
      </c>
      <c r="H19" s="49">
        <f t="shared" si="4"/>
        <v>-100</v>
      </c>
      <c r="I19" s="49">
        <f t="shared" si="4"/>
        <v>-100</v>
      </c>
      <c r="J19" s="49">
        <f t="shared" si="4"/>
        <v>-100</v>
      </c>
      <c r="K19" s="49">
        <f t="shared" si="4"/>
        <v>-100</v>
      </c>
      <c r="L19" s="49">
        <f t="shared" si="4"/>
        <v>-100</v>
      </c>
      <c r="M19" s="49">
        <f t="shared" si="4"/>
        <v>-100</v>
      </c>
      <c r="N19" s="49">
        <f t="shared" si="4"/>
        <v>-100</v>
      </c>
      <c r="O19" s="49">
        <f t="shared" si="4"/>
        <v>-100</v>
      </c>
      <c r="P19" s="49">
        <f t="shared" si="4"/>
        <v>-100</v>
      </c>
      <c r="Q19" s="64">
        <v>1100</v>
      </c>
      <c r="S19" s="74">
        <f t="shared" si="3"/>
        <v>2.9802322387695314E-09</v>
      </c>
      <c r="T19" s="74">
        <f t="shared" si="1"/>
        <v>2.6645352591003757E-15</v>
      </c>
      <c r="U19" s="74">
        <v>8.080677531524686E-13</v>
      </c>
    </row>
    <row r="20" spans="5:21" ht="12" thickBot="1">
      <c r="E20" s="63">
        <v>6</v>
      </c>
      <c r="F20" s="49">
        <f t="shared" si="4"/>
        <v>-100</v>
      </c>
      <c r="G20" s="49">
        <f t="shared" si="4"/>
        <v>-100</v>
      </c>
      <c r="H20" s="49">
        <f t="shared" si="4"/>
        <v>-100</v>
      </c>
      <c r="I20" s="49">
        <f t="shared" si="4"/>
        <v>-100</v>
      </c>
      <c r="J20" s="49">
        <f t="shared" si="4"/>
        <v>-100</v>
      </c>
      <c r="K20" s="49">
        <f t="shared" si="4"/>
        <v>-100</v>
      </c>
      <c r="L20" s="49">
        <f t="shared" si="4"/>
        <v>-100</v>
      </c>
      <c r="M20" s="49">
        <f t="shared" si="4"/>
        <v>-100</v>
      </c>
      <c r="N20" s="49">
        <f t="shared" si="4"/>
        <v>-100</v>
      </c>
      <c r="O20" s="49">
        <f t="shared" si="4"/>
        <v>-100</v>
      </c>
      <c r="P20" s="49">
        <f t="shared" si="4"/>
        <v>-100</v>
      </c>
      <c r="Q20" s="64">
        <v>1000</v>
      </c>
      <c r="S20" s="74">
        <f t="shared" si="3"/>
        <v>-0.17548887841403485</v>
      </c>
      <c r="T20" s="74">
        <f t="shared" si="1"/>
        <v>-0.17569288109179915</v>
      </c>
      <c r="U20" s="74">
        <v>-0.1754888791726431</v>
      </c>
    </row>
    <row r="21" spans="5:21" ht="12" thickBot="1">
      <c r="E21" s="63">
        <v>7</v>
      </c>
      <c r="F21" s="49">
        <f t="shared" si="4"/>
        <v>-100</v>
      </c>
      <c r="G21" s="49">
        <f t="shared" si="4"/>
        <v>-100</v>
      </c>
      <c r="H21" s="49">
        <f t="shared" si="4"/>
        <v>-100</v>
      </c>
      <c r="I21" s="49">
        <f t="shared" si="4"/>
        <v>-100</v>
      </c>
      <c r="J21" s="49">
        <f t="shared" si="4"/>
        <v>-100</v>
      </c>
      <c r="K21" s="49">
        <f t="shared" si="4"/>
        <v>-100</v>
      </c>
      <c r="L21" s="49">
        <f t="shared" si="4"/>
        <v>-100</v>
      </c>
      <c r="M21" s="49">
        <f t="shared" si="4"/>
        <v>-100</v>
      </c>
      <c r="N21" s="49">
        <f t="shared" si="4"/>
        <v>-100</v>
      </c>
      <c r="O21" s="49">
        <f t="shared" si="4"/>
        <v>-100</v>
      </c>
      <c r="P21" s="49">
        <f t="shared" si="4"/>
        <v>-100</v>
      </c>
      <c r="Q21" s="64">
        <v>912.93</v>
      </c>
      <c r="S21" s="74">
        <f t="shared" si="3"/>
        <v>-0.31783618517220036</v>
      </c>
      <c r="T21" s="74">
        <f t="shared" si="1"/>
        <v>-0.3181789285794756</v>
      </c>
      <c r="U21" s="74">
        <v>-0.317836186216136</v>
      </c>
    </row>
    <row r="22" spans="5:21" ht="12" thickBot="1">
      <c r="E22" s="63">
        <v>8</v>
      </c>
      <c r="F22" s="49">
        <f t="shared" si="4"/>
        <v>-100</v>
      </c>
      <c r="G22" s="49">
        <f t="shared" si="4"/>
        <v>-100</v>
      </c>
      <c r="H22" s="49">
        <f t="shared" si="4"/>
        <v>-100</v>
      </c>
      <c r="I22" s="49">
        <f t="shared" si="4"/>
        <v>-100</v>
      </c>
      <c r="J22" s="49">
        <f t="shared" si="4"/>
        <v>-100</v>
      </c>
      <c r="K22" s="49">
        <f t="shared" si="4"/>
        <v>-100</v>
      </c>
      <c r="L22" s="49">
        <f t="shared" si="4"/>
        <v>-100</v>
      </c>
      <c r="M22" s="49">
        <f t="shared" si="4"/>
        <v>-100</v>
      </c>
      <c r="N22" s="49">
        <f t="shared" si="4"/>
        <v>-100</v>
      </c>
      <c r="O22" s="49">
        <f t="shared" si="4"/>
        <v>-100</v>
      </c>
      <c r="P22" s="49">
        <f t="shared" si="4"/>
        <v>-100</v>
      </c>
      <c r="Q22" s="64">
        <v>912.92</v>
      </c>
      <c r="S22" s="74">
        <f t="shared" si="3"/>
        <v>-0.31785194650292403</v>
      </c>
      <c r="T22" s="74" t="e">
        <f t="shared" si="1"/>
        <v>#NUM!</v>
      </c>
      <c r="U22" s="74">
        <v>-0.31785194631638325</v>
      </c>
    </row>
    <row r="23" spans="5:21" ht="12" thickBot="1">
      <c r="E23" s="63">
        <v>9</v>
      </c>
      <c r="F23" s="49">
        <f t="shared" si="4"/>
        <v>-100</v>
      </c>
      <c r="G23" s="49">
        <f t="shared" si="4"/>
        <v>-100</v>
      </c>
      <c r="H23" s="49">
        <f t="shared" si="4"/>
        <v>-100</v>
      </c>
      <c r="I23" s="49">
        <f t="shared" si="4"/>
        <v>-100</v>
      </c>
      <c r="J23" s="49">
        <f t="shared" si="4"/>
        <v>-100</v>
      </c>
      <c r="K23" s="49">
        <f t="shared" si="4"/>
        <v>-100</v>
      </c>
      <c r="L23" s="49">
        <f t="shared" si="4"/>
        <v>-100</v>
      </c>
      <c r="M23" s="49">
        <f t="shared" si="4"/>
        <v>-100</v>
      </c>
      <c r="N23" s="49">
        <f t="shared" si="4"/>
        <v>-100</v>
      </c>
      <c r="O23" s="49">
        <f t="shared" si="4"/>
        <v>-100</v>
      </c>
      <c r="P23" s="49">
        <f t="shared" si="4"/>
        <v>-100</v>
      </c>
      <c r="Q23" s="64">
        <v>900</v>
      </c>
      <c r="S23" s="74">
        <f t="shared" si="3"/>
        <v>2.9802322387695314E-09</v>
      </c>
      <c r="T23" s="74" t="e">
        <f t="shared" si="1"/>
        <v>#NUM!</v>
      </c>
      <c r="U23" s="74">
        <v>-0.3380985094681316</v>
      </c>
    </row>
    <row r="24" spans="5:21" ht="12" thickBot="1">
      <c r="E24" s="63">
        <v>10</v>
      </c>
      <c r="F24" s="49">
        <f t="shared" si="4"/>
        <v>-100</v>
      </c>
      <c r="G24" s="49">
        <f t="shared" si="4"/>
        <v>-100</v>
      </c>
      <c r="H24" s="49">
        <f t="shared" si="4"/>
        <v>-100</v>
      </c>
      <c r="I24" s="49">
        <f t="shared" si="4"/>
        <v>-100</v>
      </c>
      <c r="J24" s="49">
        <f t="shared" si="4"/>
        <v>-100</v>
      </c>
      <c r="K24" s="49">
        <f t="shared" si="4"/>
        <v>-100</v>
      </c>
      <c r="L24" s="49">
        <f t="shared" si="4"/>
        <v>-100</v>
      </c>
      <c r="M24" s="49">
        <f t="shared" si="4"/>
        <v>-100</v>
      </c>
      <c r="N24" s="49">
        <f t="shared" si="4"/>
        <v>-100</v>
      </c>
      <c r="O24" s="49">
        <f t="shared" si="4"/>
        <v>-100</v>
      </c>
      <c r="P24" s="49">
        <f t="shared" si="4"/>
        <v>-100</v>
      </c>
      <c r="Q24" s="64">
        <v>800</v>
      </c>
      <c r="S24" s="74">
        <f t="shared" si="3"/>
        <v>2.9802322387695314E-09</v>
      </c>
      <c r="T24" s="74" t="e">
        <f t="shared" si="1"/>
        <v>#DIV/0!</v>
      </c>
      <c r="U24" s="74">
        <v>-0.48669029292639515</v>
      </c>
    </row>
    <row r="25" spans="5:21" ht="12" thickBot="1">
      <c r="E25" s="63">
        <v>11</v>
      </c>
      <c r="F25" s="49">
        <f t="shared" si="4"/>
        <v>-100</v>
      </c>
      <c r="G25" s="49">
        <f t="shared" si="4"/>
        <v>-100</v>
      </c>
      <c r="H25" s="49">
        <f t="shared" si="4"/>
        <v>-100</v>
      </c>
      <c r="I25" s="49">
        <f t="shared" si="4"/>
        <v>-100</v>
      </c>
      <c r="J25" s="49">
        <f t="shared" si="4"/>
        <v>-100</v>
      </c>
      <c r="K25" s="49">
        <f t="shared" si="4"/>
        <v>-100</v>
      </c>
      <c r="L25" s="49">
        <f t="shared" si="4"/>
        <v>-100</v>
      </c>
      <c r="M25" s="49">
        <f t="shared" si="4"/>
        <v>-100</v>
      </c>
      <c r="N25" s="49">
        <f t="shared" si="4"/>
        <v>-100</v>
      </c>
      <c r="O25" s="49">
        <f t="shared" si="4"/>
        <v>-100</v>
      </c>
      <c r="P25" s="49">
        <f t="shared" si="4"/>
        <v>-100</v>
      </c>
      <c r="Q25" s="64">
        <v>700</v>
      </c>
      <c r="S25" s="74">
        <f t="shared" si="3"/>
        <v>2.9802322387695314E-09</v>
      </c>
      <c r="T25" s="74" t="e">
        <f t="shared" si="1"/>
        <v>#DIV/0!</v>
      </c>
      <c r="U25" s="74">
        <v>-0.619921035788605</v>
      </c>
    </row>
    <row r="26" spans="5:21" ht="12" thickBot="1">
      <c r="E26" s="63">
        <v>12</v>
      </c>
      <c r="F26" s="49">
        <f t="shared" si="4"/>
        <v>-100</v>
      </c>
      <c r="G26" s="49">
        <f t="shared" si="4"/>
        <v>-100</v>
      </c>
      <c r="H26" s="49">
        <f t="shared" si="4"/>
        <v>-100</v>
      </c>
      <c r="I26" s="49">
        <f t="shared" si="4"/>
        <v>-100</v>
      </c>
      <c r="J26" s="49">
        <f t="shared" si="4"/>
        <v>-100</v>
      </c>
      <c r="K26" s="49">
        <f t="shared" si="4"/>
        <v>-100</v>
      </c>
      <c r="L26" s="49">
        <f t="shared" si="4"/>
        <v>-100</v>
      </c>
      <c r="M26" s="49">
        <f t="shared" si="4"/>
        <v>-100</v>
      </c>
      <c r="N26" s="49">
        <f t="shared" si="4"/>
        <v>-100</v>
      </c>
      <c r="O26" s="49">
        <f t="shared" si="4"/>
        <v>-100</v>
      </c>
      <c r="P26" s="49">
        <f t="shared" si="4"/>
        <v>-100</v>
      </c>
      <c r="Q26" s="64">
        <v>600</v>
      </c>
      <c r="S26" s="74">
        <f t="shared" si="3"/>
        <v>2.9802322387695314E-09</v>
      </c>
      <c r="T26" s="74" t="e">
        <f t="shared" si="1"/>
        <v>#DIV/0!</v>
      </c>
      <c r="U26" s="74">
        <v>-0.7361974364457956</v>
      </c>
    </row>
    <row r="27" spans="5:21" ht="12" thickBot="1">
      <c r="E27" s="63">
        <v>13</v>
      </c>
      <c r="F27" s="49">
        <f t="shared" si="4"/>
        <v>-100</v>
      </c>
      <c r="G27" s="49">
        <f t="shared" si="4"/>
        <v>-100</v>
      </c>
      <c r="H27" s="49">
        <f t="shared" si="4"/>
        <v>-100</v>
      </c>
      <c r="I27" s="49">
        <f t="shared" si="4"/>
        <v>-100</v>
      </c>
      <c r="J27" s="49">
        <f t="shared" si="4"/>
        <v>-100</v>
      </c>
      <c r="K27" s="49">
        <f t="shared" si="4"/>
        <v>-100</v>
      </c>
      <c r="L27" s="49">
        <f t="shared" si="4"/>
        <v>-100</v>
      </c>
      <c r="M27" s="49">
        <f t="shared" si="4"/>
        <v>-100</v>
      </c>
      <c r="N27" s="49">
        <f t="shared" si="4"/>
        <v>-100</v>
      </c>
      <c r="O27" s="49">
        <f t="shared" si="4"/>
        <v>-100</v>
      </c>
      <c r="P27" s="49">
        <f t="shared" si="4"/>
        <v>-100</v>
      </c>
      <c r="Q27" s="64">
        <v>500</v>
      </c>
      <c r="S27" s="74">
        <f t="shared" si="3"/>
        <v>2.9802322387695314E-09</v>
      </c>
      <c r="T27" s="74" t="e">
        <f t="shared" si="1"/>
        <v>#NUM!</v>
      </c>
      <c r="U27" s="66">
        <v>-0.8336343312879321</v>
      </c>
    </row>
    <row r="28" spans="5:21" ht="12" thickBot="1">
      <c r="E28" s="63">
        <v>14</v>
      </c>
      <c r="F28" s="49">
        <f t="shared" si="4"/>
        <v>-100</v>
      </c>
      <c r="G28" s="49">
        <f t="shared" si="4"/>
        <v>-100</v>
      </c>
      <c r="H28" s="49">
        <f t="shared" si="4"/>
        <v>-100</v>
      </c>
      <c r="I28" s="49">
        <f t="shared" si="4"/>
        <v>-100</v>
      </c>
      <c r="J28" s="49">
        <f t="shared" si="4"/>
        <v>-100</v>
      </c>
      <c r="K28" s="49">
        <f t="shared" si="4"/>
        <v>-100</v>
      </c>
      <c r="L28" s="49">
        <f t="shared" si="4"/>
        <v>-100</v>
      </c>
      <c r="M28" s="49">
        <f t="shared" si="4"/>
        <v>-100</v>
      </c>
      <c r="N28" s="49">
        <f t="shared" si="4"/>
        <v>-100</v>
      </c>
      <c r="O28" s="49">
        <f t="shared" si="4"/>
        <v>-100</v>
      </c>
      <c r="P28" s="49">
        <f t="shared" si="4"/>
        <v>-100</v>
      </c>
      <c r="Q28" s="64">
        <v>400</v>
      </c>
      <c r="S28" s="74">
        <f t="shared" si="3"/>
        <v>2.9802322387695314E-09</v>
      </c>
      <c r="T28" s="74" t="e">
        <f t="shared" si="1"/>
        <v>#DIV/0!</v>
      </c>
      <c r="U28" s="74">
        <v>-0.910059591528653</v>
      </c>
    </row>
    <row r="29" spans="5:21" ht="12" thickBot="1">
      <c r="E29" s="63">
        <v>15</v>
      </c>
      <c r="F29" s="49">
        <f t="shared" si="4"/>
        <v>-100</v>
      </c>
      <c r="G29" s="49">
        <f t="shared" si="4"/>
        <v>-100</v>
      </c>
      <c r="H29" s="49">
        <f t="shared" si="4"/>
        <v>-100</v>
      </c>
      <c r="I29" s="49">
        <f t="shared" si="4"/>
        <v>-100</v>
      </c>
      <c r="J29" s="49">
        <f t="shared" si="4"/>
        <v>-100</v>
      </c>
      <c r="K29" s="49">
        <f t="shared" si="4"/>
        <v>-100</v>
      </c>
      <c r="L29" s="49">
        <f t="shared" si="4"/>
        <v>-100</v>
      </c>
      <c r="M29" s="49">
        <f t="shared" si="4"/>
        <v>-100</v>
      </c>
      <c r="N29" s="49">
        <f t="shared" si="4"/>
        <v>-100</v>
      </c>
      <c r="O29" s="49">
        <f t="shared" si="4"/>
        <v>-100</v>
      </c>
      <c r="P29" s="49">
        <f t="shared" si="4"/>
        <v>-100</v>
      </c>
      <c r="Q29" s="64">
        <v>300</v>
      </c>
      <c r="S29" s="74">
        <f t="shared" si="3"/>
        <v>2.9802322387695314E-09</v>
      </c>
      <c r="T29" s="74" t="e">
        <f t="shared" si="1"/>
        <v>#DIV/0!</v>
      </c>
      <c r="U29" s="74">
        <v>-0.9632307634367795</v>
      </c>
    </row>
    <row r="30" spans="5:21" ht="12" thickBot="1">
      <c r="E30" s="63">
        <v>16</v>
      </c>
      <c r="F30" s="49">
        <f t="shared" si="4"/>
        <v>-100</v>
      </c>
      <c r="G30" s="49">
        <f t="shared" si="4"/>
        <v>-100</v>
      </c>
      <c r="H30" s="49">
        <f t="shared" si="4"/>
        <v>-100</v>
      </c>
      <c r="I30" s="49">
        <f t="shared" si="4"/>
        <v>-100</v>
      </c>
      <c r="J30" s="49">
        <f t="shared" si="4"/>
        <v>-100</v>
      </c>
      <c r="K30" s="49">
        <f t="shared" si="4"/>
        <v>-100</v>
      </c>
      <c r="L30" s="49">
        <f t="shared" si="4"/>
        <v>-100</v>
      </c>
      <c r="M30" s="49">
        <f t="shared" si="4"/>
        <v>-100</v>
      </c>
      <c r="N30" s="49">
        <f t="shared" si="4"/>
        <v>-100</v>
      </c>
      <c r="O30" s="49">
        <f t="shared" si="4"/>
        <v>-100</v>
      </c>
      <c r="P30" s="49">
        <f t="shared" si="4"/>
        <v>-100</v>
      </c>
      <c r="Q30" s="64">
        <v>200</v>
      </c>
      <c r="S30" s="74">
        <f t="shared" si="3"/>
        <v>2.9802322387695314E-09</v>
      </c>
      <c r="T30" s="74" t="e">
        <f t="shared" si="1"/>
        <v>#DIV/0!</v>
      </c>
      <c r="U30" s="74">
        <v>-0.9918988759531077</v>
      </c>
    </row>
    <row r="31" spans="5:21" ht="12" thickBot="1">
      <c r="E31" s="63">
        <v>17</v>
      </c>
      <c r="F31" s="49">
        <f t="shared" si="4"/>
        <v>-100</v>
      </c>
      <c r="G31" s="49">
        <f t="shared" si="4"/>
        <v>-100</v>
      </c>
      <c r="H31" s="49">
        <f t="shared" si="4"/>
        <v>-100</v>
      </c>
      <c r="I31" s="49">
        <f t="shared" si="4"/>
        <v>-100</v>
      </c>
      <c r="J31" s="49">
        <f t="shared" si="4"/>
        <v>-100</v>
      </c>
      <c r="K31" s="49">
        <f t="shared" si="4"/>
        <v>-100</v>
      </c>
      <c r="L31" s="49">
        <f t="shared" si="4"/>
        <v>-100</v>
      </c>
      <c r="M31" s="49">
        <f t="shared" si="4"/>
        <v>-100</v>
      </c>
      <c r="N31" s="49">
        <f t="shared" si="4"/>
        <v>-100</v>
      </c>
      <c r="O31" s="49">
        <f t="shared" si="4"/>
        <v>-100</v>
      </c>
      <c r="P31" s="49">
        <f t="shared" si="4"/>
        <v>-100</v>
      </c>
      <c r="Q31" s="64">
        <v>100</v>
      </c>
      <c r="S31" s="74">
        <f t="shared" si="3"/>
        <v>2.9802322387695314E-09</v>
      </c>
      <c r="T31" s="74" t="e">
        <f t="shared" si="1"/>
        <v>#DIV/0!</v>
      </c>
      <c r="U31" s="74"/>
    </row>
    <row r="32" spans="5:21" ht="12" thickBot="1">
      <c r="E32" s="63">
        <v>18</v>
      </c>
      <c r="F32" s="49">
        <f t="shared" si="4"/>
        <v>-100</v>
      </c>
      <c r="G32" s="49">
        <f t="shared" si="4"/>
        <v>-100</v>
      </c>
      <c r="H32" s="49">
        <f t="shared" si="4"/>
        <v>-100</v>
      </c>
      <c r="I32" s="49">
        <f t="shared" si="4"/>
        <v>-100</v>
      </c>
      <c r="J32" s="49">
        <f t="shared" si="4"/>
        <v>-100</v>
      </c>
      <c r="K32" s="49">
        <f t="shared" si="4"/>
        <v>-100</v>
      </c>
      <c r="L32" s="49">
        <f t="shared" si="4"/>
        <v>-100</v>
      </c>
      <c r="M32" s="49">
        <f t="shared" si="4"/>
        <v>-100</v>
      </c>
      <c r="N32" s="49">
        <f t="shared" si="4"/>
        <v>-100</v>
      </c>
      <c r="O32" s="49">
        <f t="shared" si="4"/>
        <v>-100</v>
      </c>
      <c r="P32" s="49">
        <f t="shared" si="4"/>
        <v>-100</v>
      </c>
      <c r="Q32" s="64">
        <v>0</v>
      </c>
      <c r="S32" s="74" t="e">
        <f t="shared" si="3"/>
        <v>#NUM!</v>
      </c>
      <c r="T32" s="74" t="e">
        <f t="shared" si="1"/>
        <v>#NUM!</v>
      </c>
      <c r="U32" s="74"/>
    </row>
    <row r="33" spans="5:21" ht="12" thickBot="1">
      <c r="E33" s="63">
        <v>19</v>
      </c>
      <c r="F33" s="49">
        <f aca="true" t="shared" si="5" ref="F33:P39">F$15</f>
        <v>-100</v>
      </c>
      <c r="G33" s="49">
        <f t="shared" si="5"/>
        <v>-100</v>
      </c>
      <c r="H33" s="49">
        <f t="shared" si="5"/>
        <v>-100</v>
      </c>
      <c r="I33" s="49">
        <f t="shared" si="5"/>
        <v>-100</v>
      </c>
      <c r="J33" s="49">
        <f t="shared" si="5"/>
        <v>-100</v>
      </c>
      <c r="K33" s="49">
        <f t="shared" si="5"/>
        <v>-100</v>
      </c>
      <c r="L33" s="49">
        <f t="shared" si="5"/>
        <v>-100</v>
      </c>
      <c r="M33" s="49">
        <f t="shared" si="5"/>
        <v>-100</v>
      </c>
      <c r="N33" s="49">
        <f t="shared" si="5"/>
        <v>-100</v>
      </c>
      <c r="O33" s="49">
        <f t="shared" si="5"/>
        <v>-100</v>
      </c>
      <c r="P33" s="49">
        <f t="shared" si="5"/>
        <v>-100</v>
      </c>
      <c r="Q33" s="64">
        <v>-100</v>
      </c>
      <c r="S33" s="74" t="e">
        <f t="shared" si="3"/>
        <v>#NUM!</v>
      </c>
      <c r="T33" s="74" t="e">
        <f t="shared" si="1"/>
        <v>#DIV/0!</v>
      </c>
      <c r="U33" s="74"/>
    </row>
    <row r="34" spans="5:21" ht="12" thickBot="1">
      <c r="E34" s="63">
        <v>20</v>
      </c>
      <c r="F34" s="49">
        <f t="shared" si="5"/>
        <v>-100</v>
      </c>
      <c r="G34" s="49">
        <f t="shared" si="5"/>
        <v>-100</v>
      </c>
      <c r="H34" s="49">
        <f t="shared" si="5"/>
        <v>-100</v>
      </c>
      <c r="I34" s="49">
        <f t="shared" si="5"/>
        <v>-100</v>
      </c>
      <c r="J34" s="49">
        <f t="shared" si="5"/>
        <v>-100</v>
      </c>
      <c r="K34" s="49">
        <f t="shared" si="5"/>
        <v>-100</v>
      </c>
      <c r="L34" s="49">
        <f t="shared" si="5"/>
        <v>-100</v>
      </c>
      <c r="M34" s="49">
        <f t="shared" si="5"/>
        <v>-100</v>
      </c>
      <c r="N34" s="49">
        <f t="shared" si="5"/>
        <v>-100</v>
      </c>
      <c r="O34" s="49">
        <f t="shared" si="5"/>
        <v>-100</v>
      </c>
      <c r="P34" s="49">
        <f t="shared" si="5"/>
        <v>-100</v>
      </c>
      <c r="Q34" s="64">
        <v>-200</v>
      </c>
      <c r="S34" s="74" t="e">
        <f t="shared" si="3"/>
        <v>#NUM!</v>
      </c>
      <c r="T34" s="74" t="e">
        <f t="shared" si="1"/>
        <v>#DIV/0!</v>
      </c>
      <c r="U34" s="74"/>
    </row>
    <row r="35" spans="5:21" ht="12" thickBot="1">
      <c r="E35" s="63">
        <v>21</v>
      </c>
      <c r="F35" s="49">
        <f t="shared" si="5"/>
        <v>-100</v>
      </c>
      <c r="G35" s="49">
        <f t="shared" si="5"/>
        <v>-100</v>
      </c>
      <c r="H35" s="49">
        <f t="shared" si="5"/>
        <v>-100</v>
      </c>
      <c r="I35" s="49">
        <f t="shared" si="5"/>
        <v>-100</v>
      </c>
      <c r="J35" s="49">
        <f t="shared" si="5"/>
        <v>-100</v>
      </c>
      <c r="K35" s="49">
        <f t="shared" si="5"/>
        <v>-100</v>
      </c>
      <c r="L35" s="49">
        <f t="shared" si="5"/>
        <v>-100</v>
      </c>
      <c r="M35" s="49">
        <f t="shared" si="5"/>
        <v>-100</v>
      </c>
      <c r="N35" s="49">
        <f t="shared" si="5"/>
        <v>-100</v>
      </c>
      <c r="O35" s="49">
        <f t="shared" si="5"/>
        <v>-100</v>
      </c>
      <c r="P35" s="49">
        <f t="shared" si="5"/>
        <v>-100</v>
      </c>
      <c r="Q35" s="64">
        <v>-1200</v>
      </c>
      <c r="S35" s="74" t="e">
        <f t="shared" si="3"/>
        <v>#NUM!</v>
      </c>
      <c r="T35" s="74" t="e">
        <f t="shared" si="1"/>
        <v>#DIV/0!</v>
      </c>
      <c r="U35" s="74"/>
    </row>
    <row r="36" spans="5:21" ht="12" thickBot="1">
      <c r="E36" s="63">
        <v>22</v>
      </c>
      <c r="F36" s="49">
        <f t="shared" si="5"/>
        <v>-100</v>
      </c>
      <c r="G36" s="49">
        <f t="shared" si="5"/>
        <v>-100</v>
      </c>
      <c r="H36" s="49">
        <f t="shared" si="5"/>
        <v>-100</v>
      </c>
      <c r="I36" s="49">
        <f t="shared" si="5"/>
        <v>-100</v>
      </c>
      <c r="J36" s="49">
        <f t="shared" si="5"/>
        <v>-100</v>
      </c>
      <c r="K36" s="49">
        <f t="shared" si="5"/>
        <v>-100</v>
      </c>
      <c r="L36" s="49">
        <f t="shared" si="5"/>
        <v>-100</v>
      </c>
      <c r="M36" s="49">
        <f t="shared" si="5"/>
        <v>-100</v>
      </c>
      <c r="N36" s="49">
        <f t="shared" si="5"/>
        <v>-100</v>
      </c>
      <c r="O36" s="49">
        <f t="shared" si="5"/>
        <v>-100</v>
      </c>
      <c r="P36" s="49">
        <f t="shared" si="5"/>
        <v>-100</v>
      </c>
      <c r="Q36" s="64">
        <v>-1300</v>
      </c>
      <c r="S36" s="74" t="e">
        <f t="shared" si="3"/>
        <v>#NUM!</v>
      </c>
      <c r="T36" s="74" t="e">
        <f t="shared" si="1"/>
        <v>#NUM!</v>
      </c>
      <c r="U36" s="74"/>
    </row>
    <row r="37" spans="5:21" ht="12" thickBot="1">
      <c r="E37" s="63">
        <v>23</v>
      </c>
      <c r="F37" s="49">
        <f t="shared" si="5"/>
        <v>-100</v>
      </c>
      <c r="G37" s="49">
        <f t="shared" si="5"/>
        <v>-100</v>
      </c>
      <c r="H37" s="49">
        <f t="shared" si="5"/>
        <v>-100</v>
      </c>
      <c r="I37" s="49">
        <f t="shared" si="5"/>
        <v>-100</v>
      </c>
      <c r="J37" s="49">
        <f t="shared" si="5"/>
        <v>-100</v>
      </c>
      <c r="K37" s="49">
        <f t="shared" si="5"/>
        <v>-100</v>
      </c>
      <c r="L37" s="49">
        <f t="shared" si="5"/>
        <v>-100</v>
      </c>
      <c r="M37" s="49">
        <f t="shared" si="5"/>
        <v>-100</v>
      </c>
      <c r="N37" s="49">
        <f t="shared" si="5"/>
        <v>-100</v>
      </c>
      <c r="O37" s="49">
        <f t="shared" si="5"/>
        <v>-100</v>
      </c>
      <c r="P37" s="49">
        <f t="shared" si="5"/>
        <v>-100</v>
      </c>
      <c r="Q37" s="64">
        <v>-1400</v>
      </c>
      <c r="S37" s="74" t="e">
        <f t="shared" si="3"/>
        <v>#NUM!</v>
      </c>
      <c r="T37" s="74" t="e">
        <f t="shared" si="1"/>
        <v>#NUM!</v>
      </c>
      <c r="U37" s="74"/>
    </row>
    <row r="38" spans="5:21" ht="12" thickBot="1">
      <c r="E38" s="63">
        <v>24</v>
      </c>
      <c r="F38" s="49">
        <f t="shared" si="5"/>
        <v>-100</v>
      </c>
      <c r="G38" s="49">
        <f t="shared" si="5"/>
        <v>-100</v>
      </c>
      <c r="H38" s="49">
        <f t="shared" si="5"/>
        <v>-100</v>
      </c>
      <c r="I38" s="49">
        <f t="shared" si="5"/>
        <v>-100</v>
      </c>
      <c r="J38" s="49">
        <f t="shared" si="5"/>
        <v>-100</v>
      </c>
      <c r="K38" s="49">
        <f t="shared" si="5"/>
        <v>-100</v>
      </c>
      <c r="L38" s="49">
        <f t="shared" si="5"/>
        <v>-100</v>
      </c>
      <c r="M38" s="49">
        <f t="shared" si="5"/>
        <v>-100</v>
      </c>
      <c r="N38" s="49">
        <f t="shared" si="5"/>
        <v>-100</v>
      </c>
      <c r="O38" s="49">
        <f t="shared" si="5"/>
        <v>-100</v>
      </c>
      <c r="P38" s="49">
        <f t="shared" si="5"/>
        <v>-100</v>
      </c>
      <c r="Q38" s="64">
        <v>-1500</v>
      </c>
      <c r="S38" s="74" t="e">
        <f t="shared" si="3"/>
        <v>#NUM!</v>
      </c>
      <c r="T38" s="74" t="e">
        <f t="shared" si="1"/>
        <v>#DIV/0!</v>
      </c>
      <c r="U38" s="74"/>
    </row>
    <row r="39" spans="5:21" ht="12" thickBot="1">
      <c r="E39" s="63">
        <v>25</v>
      </c>
      <c r="F39" s="49">
        <f t="shared" si="5"/>
        <v>-100</v>
      </c>
      <c r="G39" s="49">
        <f t="shared" si="5"/>
        <v>-100</v>
      </c>
      <c r="H39" s="49">
        <f t="shared" si="5"/>
        <v>-100</v>
      </c>
      <c r="I39" s="49">
        <f t="shared" si="5"/>
        <v>-100</v>
      </c>
      <c r="J39" s="49">
        <f t="shared" si="5"/>
        <v>-100</v>
      </c>
      <c r="K39" s="49">
        <f t="shared" si="5"/>
        <v>-100</v>
      </c>
      <c r="L39" s="49">
        <f t="shared" si="5"/>
        <v>-100</v>
      </c>
      <c r="M39" s="49">
        <f t="shared" si="5"/>
        <v>-100</v>
      </c>
      <c r="N39" s="49">
        <f t="shared" si="5"/>
        <v>-100</v>
      </c>
      <c r="O39" s="49">
        <f t="shared" si="5"/>
        <v>-100</v>
      </c>
      <c r="P39" s="49">
        <f t="shared" si="5"/>
        <v>-100</v>
      </c>
      <c r="Q39" s="64">
        <v>-1600</v>
      </c>
      <c r="S39" s="74" t="e">
        <f t="shared" si="3"/>
        <v>#NUM!</v>
      </c>
      <c r="T39" s="74" t="e">
        <f t="shared" si="1"/>
        <v>#DIV/0!</v>
      </c>
      <c r="U39" s="74"/>
    </row>
    <row r="41" ht="11.25"/>
    <row r="42" ht="12">
      <c r="C42" s="36" t="s">
        <v>73</v>
      </c>
    </row>
    <row r="43" ht="12.75" thickBot="1">
      <c r="C43" s="36"/>
    </row>
    <row r="44" spans="3:5" ht="12.75" thickBot="1">
      <c r="C44" s="36"/>
      <c r="D44" s="67" t="s">
        <v>76</v>
      </c>
      <c r="E44" s="70">
        <v>1</v>
      </c>
    </row>
    <row r="45" spans="3:6" ht="12.75" thickBot="1">
      <c r="C45" s="36"/>
      <c r="D45" s="67" t="s">
        <v>77</v>
      </c>
      <c r="E45" s="69" t="s">
        <v>26</v>
      </c>
      <c r="F45" s="71">
        <f>MATCH($E$45,$S$14:$U$14,0)</f>
        <v>1</v>
      </c>
    </row>
    <row r="46" spans="3:5" ht="12">
      <c r="C46" s="36"/>
      <c r="D46" s="67" t="s">
        <v>79</v>
      </c>
      <c r="E46" s="66">
        <f ca="1">IF(ISERROR(OFFSET($R$14,$E$44,$F$45)),,OFFSET($R$14,$E$44,$F$45))</f>
        <v>2.033354258537292</v>
      </c>
    </row>
    <row r="47" ht="12">
      <c r="C47" s="36"/>
    </row>
    <row r="48" spans="6:17" ht="11.25">
      <c r="F48" s="65">
        <f>F14</f>
        <v>41275</v>
      </c>
      <c r="G48" s="65">
        <f aca="true" t="shared" si="6" ref="G48:Q48">G14</f>
        <v>41306</v>
      </c>
      <c r="H48" s="65">
        <f t="shared" si="6"/>
        <v>41334</v>
      </c>
      <c r="I48" s="65">
        <f t="shared" si="6"/>
        <v>41365</v>
      </c>
      <c r="J48" s="65">
        <f t="shared" si="6"/>
        <v>41395</v>
      </c>
      <c r="K48" s="65">
        <f t="shared" si="6"/>
        <v>41426</v>
      </c>
      <c r="L48" s="65">
        <f t="shared" si="6"/>
        <v>41456</v>
      </c>
      <c r="M48" s="65">
        <f t="shared" si="6"/>
        <v>41487</v>
      </c>
      <c r="N48" s="65">
        <f t="shared" si="6"/>
        <v>41518</v>
      </c>
      <c r="O48" s="65">
        <f t="shared" si="6"/>
        <v>41548</v>
      </c>
      <c r="P48" s="65">
        <f t="shared" si="6"/>
        <v>41579</v>
      </c>
      <c r="Q48" s="65">
        <f t="shared" si="6"/>
        <v>41609</v>
      </c>
    </row>
    <row r="49" spans="5:17" ht="11.25">
      <c r="E49" s="78" t="s">
        <v>78</v>
      </c>
      <c r="F49" s="79">
        <f>F$48-$F$48</f>
        <v>0</v>
      </c>
      <c r="G49" s="79">
        <f aca="true" t="shared" si="7" ref="G49:Q49">G$48-$F$48</f>
        <v>31</v>
      </c>
      <c r="H49" s="79">
        <f t="shared" si="7"/>
        <v>59</v>
      </c>
      <c r="I49" s="79">
        <f t="shared" si="7"/>
        <v>90</v>
      </c>
      <c r="J49" s="79">
        <f t="shared" si="7"/>
        <v>120</v>
      </c>
      <c r="K49" s="79">
        <f t="shared" si="7"/>
        <v>151</v>
      </c>
      <c r="L49" s="79">
        <f t="shared" si="7"/>
        <v>181</v>
      </c>
      <c r="M49" s="79">
        <f t="shared" si="7"/>
        <v>212</v>
      </c>
      <c r="N49" s="79">
        <f t="shared" si="7"/>
        <v>243</v>
      </c>
      <c r="O49" s="79">
        <f t="shared" si="7"/>
        <v>273</v>
      </c>
      <c r="P49" s="79">
        <f t="shared" si="7"/>
        <v>304</v>
      </c>
      <c r="Q49" s="79">
        <f t="shared" si="7"/>
        <v>334</v>
      </c>
    </row>
    <row r="50" ht="11.25">
      <c r="E50" s="61"/>
    </row>
    <row r="51" spans="5:17" ht="11.25">
      <c r="E51" s="75">
        <f>E44</f>
        <v>1</v>
      </c>
      <c r="F51" s="49">
        <f ca="1">OFFSET(F$14,$E$44,)</f>
        <v>-100</v>
      </c>
      <c r="G51" s="49">
        <f aca="true" ca="1" t="shared" si="8" ref="G51:Q51">OFFSET(G$14,$E$44,)</f>
        <v>-100</v>
      </c>
      <c r="H51" s="49">
        <f ca="1" t="shared" si="8"/>
        <v>-100</v>
      </c>
      <c r="I51" s="49">
        <f ca="1" t="shared" si="8"/>
        <v>-100</v>
      </c>
      <c r="J51" s="49">
        <f ca="1" t="shared" si="8"/>
        <v>-100</v>
      </c>
      <c r="K51" s="49">
        <f ca="1" t="shared" si="8"/>
        <v>-100</v>
      </c>
      <c r="L51" s="49">
        <f ca="1" t="shared" si="8"/>
        <v>-100</v>
      </c>
      <c r="M51" s="49">
        <f ca="1" t="shared" si="8"/>
        <v>-100</v>
      </c>
      <c r="N51" s="49">
        <f ca="1" t="shared" si="8"/>
        <v>-100</v>
      </c>
      <c r="O51" s="49">
        <f ca="1" t="shared" si="8"/>
        <v>-100</v>
      </c>
      <c r="P51" s="49">
        <f ca="1" t="shared" si="8"/>
        <v>-100</v>
      </c>
      <c r="Q51" s="49">
        <f ca="1" t="shared" si="8"/>
        <v>2000</v>
      </c>
    </row>
    <row r="52" ht="11.25">
      <c r="E52" s="61"/>
    </row>
    <row r="53" spans="5:17" ht="11.25">
      <c r="E53" s="62" t="s">
        <v>38</v>
      </c>
      <c r="F53" s="77">
        <f aca="true" t="shared" si="9" ref="F53:Q53">1/(1+Rate_Used)^(F$49/Days_in_Year)</f>
        <v>1</v>
      </c>
      <c r="G53" s="77">
        <f t="shared" si="9"/>
        <v>0.9100589855842128</v>
      </c>
      <c r="H53" s="77">
        <f t="shared" si="9"/>
        <v>0.8357956302697268</v>
      </c>
      <c r="I53" s="77">
        <f t="shared" si="9"/>
        <v>0.7606233234389852</v>
      </c>
      <c r="J53" s="77">
        <f t="shared" si="9"/>
        <v>0.6943197480110956</v>
      </c>
      <c r="K53" s="77">
        <f t="shared" si="9"/>
        <v>0.6318719255460639</v>
      </c>
      <c r="L53" s="77">
        <f t="shared" si="9"/>
        <v>0.5767916162981315</v>
      </c>
      <c r="M53" s="77">
        <f t="shared" si="9"/>
        <v>0.5249143932217561</v>
      </c>
      <c r="N53" s="77">
        <f t="shared" si="9"/>
        <v>0.4777030602139439</v>
      </c>
      <c r="O53" s="77">
        <f t="shared" si="9"/>
        <v>0.43606165913012646</v>
      </c>
      <c r="P53" s="77">
        <f t="shared" si="9"/>
        <v>0.3968418311601317</v>
      </c>
      <c r="Q53" s="77">
        <f t="shared" si="9"/>
        <v>0.36224910769971536</v>
      </c>
    </row>
    <row r="54" ht="11.25">
      <c r="E54" s="61"/>
    </row>
    <row r="55" spans="5:17" ht="11.25">
      <c r="E55" s="62" t="s">
        <v>80</v>
      </c>
      <c r="F55" s="49">
        <f>F51*F53</f>
        <v>-100</v>
      </c>
      <c r="G55" s="49">
        <f aca="true" t="shared" si="10" ref="G55:Q55">G51*G53</f>
        <v>-91.00589855842128</v>
      </c>
      <c r="H55" s="49">
        <f t="shared" si="10"/>
        <v>-83.57956302697268</v>
      </c>
      <c r="I55" s="49">
        <f t="shared" si="10"/>
        <v>-76.06233234389852</v>
      </c>
      <c r="J55" s="49">
        <f t="shared" si="10"/>
        <v>-69.43197480110956</v>
      </c>
      <c r="K55" s="49">
        <f t="shared" si="10"/>
        <v>-63.18719255460638</v>
      </c>
      <c r="L55" s="49">
        <f t="shared" si="10"/>
        <v>-57.679161629813144</v>
      </c>
      <c r="M55" s="49">
        <f t="shared" si="10"/>
        <v>-52.491439322175616</v>
      </c>
      <c r="N55" s="49">
        <f t="shared" si="10"/>
        <v>-47.77030602139439</v>
      </c>
      <c r="O55" s="49">
        <f t="shared" si="10"/>
        <v>-43.606165913012646</v>
      </c>
      <c r="P55" s="49">
        <f t="shared" si="10"/>
        <v>-39.68418311601317</v>
      </c>
      <c r="Q55" s="49">
        <f t="shared" si="10"/>
        <v>724.4982153994307</v>
      </c>
    </row>
    <row r="56" ht="11.25">
      <c r="E56" s="61"/>
    </row>
    <row r="57" spans="5:6" ht="12" thickBot="1">
      <c r="E57" s="67" t="s">
        <v>81</v>
      </c>
      <c r="F57" s="76">
        <f>SUM(F55:Q55)</f>
        <v>-1.8879867411669693E-06</v>
      </c>
    </row>
  </sheetData>
  <sheetProtection/>
  <mergeCells count="1">
    <mergeCell ref="B3:E3"/>
  </mergeCells>
  <conditionalFormatting sqref="S15:T39 U15:U26 U28:U39">
    <cfRule type="expression" priority="1" dxfId="1" stopIfTrue="1">
      <formula>AND($E$44=$E15,$E$45=S$14)</formula>
    </cfRule>
  </conditionalFormatting>
  <dataValidations count="2">
    <dataValidation type="list" allowBlank="1" showInputMessage="1" showErrorMessage="1" sqref="E44">
      <formula1>$E$15:$E$39</formula1>
    </dataValidation>
    <dataValidation type="list" allowBlank="1" showInputMessage="1" showErrorMessage="1" sqref="E45">
      <formula1>$S$14:$U$14</formula1>
    </dataValidation>
  </dataValidations>
  <hyperlinks>
    <hyperlink ref="B3" location="HL_Home" tooltip="Go to Table of Contents" display="HL_Home"/>
    <hyperlink ref="A4" location="$A$5" tooltip="Go to Top of Sheet" display="$A$5"/>
    <hyperlink ref="B4" location="'Unreliable_XNPV_Check_BA'!A1" tooltip="Go to Previous Sheet" display="'Unreliable_XNPV_Check_BA'!A1"/>
    <hyperlink ref="C4" location="'XIRR_Examples_Neg Start_BA'!A1" tooltip="Go to Next Sheet" display="'XIRR_Examples_Neg Start_BA'!A1"/>
  </hyperlinks>
  <printOptions/>
  <pageMargins left="0.393700787401575" right="0.393700787401575" top="0.5905511811023625" bottom="0.9842519685039375" header="0" footer="0.3149606299212597"/>
  <pageSetup horizontalDpi="600" verticalDpi="600" orientation="landscape" paperSize="9" scale="74" r:id="rId2"/>
  <headerFooter>
    <oddFooter>&amp;L&amp;"Arial,Bold"&amp;7&amp;F
&amp;A
Printed: &amp;T on &amp;D&amp;C&amp;"Arial,Bold"&amp;10Page &amp;P of &amp;N</oddFooter>
  </headerFooter>
  <drawing r:id="rId1"/>
</worksheet>
</file>

<file path=xl/worksheets/sheet13.xml><?xml version="1.0" encoding="utf-8"?>
<worksheet xmlns="http://schemas.openxmlformats.org/spreadsheetml/2006/main" xmlns:r="http://schemas.openxmlformats.org/officeDocument/2006/relationships">
  <dimension ref="A1:X39"/>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cols>
    <col min="1" max="3" width="3.83203125" style="11" customWidth="1"/>
    <col min="4" max="4" width="13.5" style="11" bestFit="1" customWidth="1"/>
    <col min="5" max="5" width="25.66015625" style="11" bestFit="1" customWidth="1"/>
    <col min="6" max="18" width="10.83203125" style="11" customWidth="1"/>
    <col min="19" max="19" width="2.33203125" style="11" customWidth="1"/>
    <col min="20" max="20" width="12.16015625" style="11" bestFit="1" customWidth="1"/>
    <col min="21" max="24" width="11" style="11" bestFit="1" customWidth="1"/>
    <col min="25" max="16384" width="10.83203125" style="11" customWidth="1"/>
  </cols>
  <sheetData>
    <row r="1" spans="1:2" ht="18">
      <c r="A1" s="83" t="s">
        <v>20</v>
      </c>
      <c r="B1" s="13" t="s">
        <v>120</v>
      </c>
    </row>
    <row r="2" ht="15.75">
      <c r="B2" s="12" t="str">
        <f>Model_Name</f>
        <v>Internal Rates of Return Examples</v>
      </c>
    </row>
    <row r="3" spans="2:5" ht="11.25">
      <c r="B3" s="107" t="s">
        <v>3</v>
      </c>
      <c r="C3" s="107"/>
      <c r="D3" s="107"/>
      <c r="E3" s="107"/>
    </row>
    <row r="4" spans="1:2" ht="12.75">
      <c r="A4" s="15" t="s">
        <v>6</v>
      </c>
      <c r="B4" s="16" t="s">
        <v>9</v>
      </c>
    </row>
    <row r="5" ht="11.25">
      <c r="B5" s="14"/>
    </row>
    <row r="6" ht="11.25">
      <c r="B6" s="14"/>
    </row>
    <row r="7" ht="12.75">
      <c r="B7" s="26" t="str">
        <f>B1</f>
        <v>XIRR Examples with a negative first number</v>
      </c>
    </row>
    <row r="8" ht="11.25">
      <c r="B8" s="14"/>
    </row>
    <row r="9" spans="2:3" ht="12">
      <c r="B9" s="14"/>
      <c r="C9" s="36" t="s">
        <v>72</v>
      </c>
    </row>
    <row r="10" spans="2:3" ht="12">
      <c r="B10" s="14"/>
      <c r="C10" s="36"/>
    </row>
    <row r="11" spans="2:5" ht="12">
      <c r="B11" s="14"/>
      <c r="C11" s="36"/>
      <c r="D11" s="62" t="s">
        <v>75</v>
      </c>
      <c r="E11" s="11">
        <f>Months_in_Year</f>
        <v>12</v>
      </c>
    </row>
    <row r="12" spans="2:5" ht="12">
      <c r="B12" s="14"/>
      <c r="C12" s="36"/>
      <c r="D12" s="62" t="s">
        <v>28</v>
      </c>
      <c r="E12" s="11">
        <f>Days_in_Year</f>
        <v>365</v>
      </c>
    </row>
    <row r="13" spans="2:24" ht="11.25">
      <c r="B13" s="14"/>
      <c r="V13" s="109" t="s">
        <v>82</v>
      </c>
      <c r="W13" s="109"/>
      <c r="X13" s="109"/>
    </row>
    <row r="14" spans="6:24" ht="12" thickBot="1">
      <c r="F14" s="65">
        <f>EOMONTH(G14,-2)+1</f>
        <v>41244</v>
      </c>
      <c r="G14" s="65">
        <f ca="1">DATE(YEAR(TODAY())+1+IF(MOD(YEAR(TODAY()),Leap_Year_Divisor)=Leap_Year_Divisor-1,1,0),1,1)</f>
        <v>41275</v>
      </c>
      <c r="H14" s="65">
        <f>EOMONTH(G14,0)+1</f>
        <v>41306</v>
      </c>
      <c r="I14" s="65">
        <f aca="true" t="shared" si="0" ref="I14:R14">EOMONTH(H14,0)+1</f>
        <v>41334</v>
      </c>
      <c r="J14" s="65">
        <f t="shared" si="0"/>
        <v>41365</v>
      </c>
      <c r="K14" s="65">
        <f t="shared" si="0"/>
        <v>41395</v>
      </c>
      <c r="L14" s="65">
        <f t="shared" si="0"/>
        <v>41426</v>
      </c>
      <c r="M14" s="65">
        <f t="shared" si="0"/>
        <v>41456</v>
      </c>
      <c r="N14" s="65">
        <f t="shared" si="0"/>
        <v>41487</v>
      </c>
      <c r="O14" s="65">
        <f t="shared" si="0"/>
        <v>41518</v>
      </c>
      <c r="P14" s="65">
        <f t="shared" si="0"/>
        <v>41548</v>
      </c>
      <c r="Q14" s="65">
        <f t="shared" si="0"/>
        <v>41579</v>
      </c>
      <c r="R14" s="65">
        <f t="shared" si="0"/>
        <v>41609</v>
      </c>
      <c r="T14" s="40" t="str">
        <f>XIRR_Examples_BA!S14</f>
        <v>XIRR</v>
      </c>
      <c r="U14" s="40" t="str">
        <f>XIRR_Examples_BA!T14</f>
        <v>IRR</v>
      </c>
      <c r="V14" s="81" t="str">
        <f>XIRR_Examples_BA!S14</f>
        <v>XIRR</v>
      </c>
      <c r="W14" s="81" t="str">
        <f>XIRR_Examples_BA!T14</f>
        <v>IRR</v>
      </c>
      <c r="X14" s="81" t="str">
        <f>XIRR_Examples_BA!U14</f>
        <v>Goal Seek</v>
      </c>
    </row>
    <row r="15" spans="5:24" ht="12" thickBot="1">
      <c r="E15" s="63">
        <v>1</v>
      </c>
      <c r="F15" s="28">
        <f>Very_small_neg_no</f>
        <v>-1E-06</v>
      </c>
      <c r="G15" s="49">
        <f>-XIRR_Examples_BA!F15</f>
        <v>100</v>
      </c>
      <c r="H15" s="49">
        <f>-XIRR_Examples_BA!G15</f>
        <v>100</v>
      </c>
      <c r="I15" s="49">
        <f>-XIRR_Examples_BA!H15</f>
        <v>100</v>
      </c>
      <c r="J15" s="49">
        <f>-XIRR_Examples_BA!I15</f>
        <v>100</v>
      </c>
      <c r="K15" s="49">
        <f>-XIRR_Examples_BA!J15</f>
        <v>100</v>
      </c>
      <c r="L15" s="49">
        <f>-XIRR_Examples_BA!K15</f>
        <v>100</v>
      </c>
      <c r="M15" s="49">
        <f>-XIRR_Examples_BA!L15</f>
        <v>100</v>
      </c>
      <c r="N15" s="49">
        <f>-XIRR_Examples_BA!M15</f>
        <v>100</v>
      </c>
      <c r="O15" s="49">
        <f>-XIRR_Examples_BA!N15</f>
        <v>100</v>
      </c>
      <c r="P15" s="49">
        <f>-XIRR_Examples_BA!O15</f>
        <v>100</v>
      </c>
      <c r="Q15" s="49">
        <f>-XIRR_Examples_BA!P15</f>
        <v>100</v>
      </c>
      <c r="R15" s="73">
        <f>-XIRR_Examples_BA!Q15</f>
        <v>-2000</v>
      </c>
      <c r="T15" s="11">
        <f>XIRR($F15:$R15,$F$14:$R$14)</f>
        <v>2.9802322387695314E-09</v>
      </c>
      <c r="U15" s="48">
        <f aca="true" t="shared" si="1" ref="U15:U39">(1+IRR($F15:$R15))^Months_in_Year-1</f>
        <v>2.0365825503467354</v>
      </c>
      <c r="V15" s="82">
        <f>IF(XIRR_Examples_BA!S15="","",XIRR_Examples_BA!S15)</f>
        <v>2.033354258537292</v>
      </c>
      <c r="W15" s="82">
        <f>IF(XIRR_Examples_BA!T15="","",XIRR_Examples_BA!T15)</f>
        <v>2.036582542341614</v>
      </c>
      <c r="X15" s="82">
        <f>IF(XIRR_Examples_BA!U15="","",XIRR_Examples_BA!U15)</f>
        <v>2.0333542446280193</v>
      </c>
    </row>
    <row r="16" spans="5:24" ht="11.25">
      <c r="E16" s="63">
        <v>2</v>
      </c>
      <c r="F16" s="49">
        <f aca="true" t="shared" si="2" ref="F16:Q16">F$15</f>
        <v>-1E-06</v>
      </c>
      <c r="G16" s="49">
        <f t="shared" si="2"/>
        <v>100</v>
      </c>
      <c r="H16" s="49">
        <f t="shared" si="2"/>
        <v>100</v>
      </c>
      <c r="I16" s="49">
        <f t="shared" si="2"/>
        <v>100</v>
      </c>
      <c r="J16" s="49">
        <f t="shared" si="2"/>
        <v>100</v>
      </c>
      <c r="K16" s="49">
        <f t="shared" si="2"/>
        <v>100</v>
      </c>
      <c r="L16" s="49">
        <f t="shared" si="2"/>
        <v>100</v>
      </c>
      <c r="M16" s="49">
        <f t="shared" si="2"/>
        <v>100</v>
      </c>
      <c r="N16" s="49">
        <f t="shared" si="2"/>
        <v>100</v>
      </c>
      <c r="O16" s="49">
        <f t="shared" si="2"/>
        <v>100</v>
      </c>
      <c r="P16" s="49">
        <f t="shared" si="2"/>
        <v>100</v>
      </c>
      <c r="Q16" s="49">
        <f t="shared" si="2"/>
        <v>100</v>
      </c>
      <c r="R16" s="73">
        <f>-XIRR_Examples_BA!Q16</f>
        <v>-1800</v>
      </c>
      <c r="T16" s="11">
        <f aca="true" t="shared" si="3" ref="T16:T39">XIRR($F16:$R16,$F$14:$R$14)</f>
        <v>2.9802322387695314E-09</v>
      </c>
      <c r="U16" s="48">
        <f t="shared" si="1"/>
        <v>1.5238593928978048</v>
      </c>
      <c r="V16" s="82">
        <f>IF(XIRR_Examples_BA!S16="","",XIRR_Examples_BA!S16)</f>
        <v>1.5214951157569887</v>
      </c>
      <c r="W16" s="82">
        <f>IF(XIRR_Examples_BA!T16="","",XIRR_Examples_BA!T16)</f>
        <v>1.523859386323278</v>
      </c>
      <c r="X16" s="82">
        <f>IF(XIRR_Examples_BA!U16="","",XIRR_Examples_BA!U16)</f>
        <v>1.521495113510756</v>
      </c>
    </row>
    <row r="17" spans="5:24" ht="11.25">
      <c r="E17" s="63">
        <v>3</v>
      </c>
      <c r="F17" s="49">
        <f aca="true" t="shared" si="4" ref="F17:Q32">F$15</f>
        <v>-1E-06</v>
      </c>
      <c r="G17" s="49">
        <f aca="true" t="shared" si="5" ref="G17:G31">G$15</f>
        <v>100</v>
      </c>
      <c r="H17" s="49">
        <f t="shared" si="4"/>
        <v>100</v>
      </c>
      <c r="I17" s="49">
        <f t="shared" si="4"/>
        <v>100</v>
      </c>
      <c r="J17" s="49">
        <f t="shared" si="4"/>
        <v>100</v>
      </c>
      <c r="K17" s="49">
        <f t="shared" si="4"/>
        <v>100</v>
      </c>
      <c r="L17" s="49">
        <f t="shared" si="4"/>
        <v>100</v>
      </c>
      <c r="M17" s="49">
        <f t="shared" si="4"/>
        <v>100</v>
      </c>
      <c r="N17" s="49">
        <f t="shared" si="4"/>
        <v>100</v>
      </c>
      <c r="O17" s="49">
        <f t="shared" si="4"/>
        <v>100</v>
      </c>
      <c r="P17" s="49">
        <f t="shared" si="4"/>
        <v>100</v>
      </c>
      <c r="Q17" s="49">
        <f t="shared" si="4"/>
        <v>100</v>
      </c>
      <c r="R17" s="73">
        <f>-XIRR_Examples_BA!Q17</f>
        <v>-1600</v>
      </c>
      <c r="T17" s="11">
        <f t="shared" si="3"/>
        <v>2.9802322387695314E-09</v>
      </c>
      <c r="U17" s="48">
        <f t="shared" si="1"/>
        <v>1.0423498201312813</v>
      </c>
      <c r="V17" s="82">
        <f>IF(XIRR_Examples_BA!S17="","",XIRR_Examples_BA!S17)</f>
        <v>1.0407869935035707</v>
      </c>
      <c r="W17" s="82">
        <f>IF(XIRR_Examples_BA!T17="","",XIRR_Examples_BA!T17)</f>
        <v>1.0423498154065176</v>
      </c>
      <c r="X17" s="82">
        <f>IF(XIRR_Examples_BA!U17="","",XIRR_Examples_BA!U17)</f>
        <v>1.040786982315054</v>
      </c>
    </row>
    <row r="18" spans="5:24" ht="11.25">
      <c r="E18" s="63">
        <v>4</v>
      </c>
      <c r="F18" s="49">
        <f t="shared" si="4"/>
        <v>-1E-06</v>
      </c>
      <c r="G18" s="49">
        <f t="shared" si="5"/>
        <v>100</v>
      </c>
      <c r="H18" s="49">
        <f t="shared" si="4"/>
        <v>100</v>
      </c>
      <c r="I18" s="49">
        <f t="shared" si="4"/>
        <v>100</v>
      </c>
      <c r="J18" s="49">
        <f t="shared" si="4"/>
        <v>100</v>
      </c>
      <c r="K18" s="49">
        <f t="shared" si="4"/>
        <v>100</v>
      </c>
      <c r="L18" s="49">
        <f t="shared" si="4"/>
        <v>100</v>
      </c>
      <c r="M18" s="49">
        <f t="shared" si="4"/>
        <v>100</v>
      </c>
      <c r="N18" s="49">
        <f t="shared" si="4"/>
        <v>100</v>
      </c>
      <c r="O18" s="49">
        <f t="shared" si="4"/>
        <v>100</v>
      </c>
      <c r="P18" s="49">
        <f t="shared" si="4"/>
        <v>100</v>
      </c>
      <c r="Q18" s="49">
        <f t="shared" si="4"/>
        <v>100</v>
      </c>
      <c r="R18" s="73">
        <f>-XIRR_Examples_BA!Q18</f>
        <v>-1400</v>
      </c>
      <c r="T18" s="11">
        <f t="shared" si="3"/>
        <v>2.9802322387695314E-09</v>
      </c>
      <c r="U18" s="48">
        <f t="shared" si="1"/>
        <v>0.5955045356989728</v>
      </c>
      <c r="V18" s="82">
        <f>IF(XIRR_Examples_BA!S18="","",XIRR_Examples_BA!S18)</f>
        <v>0.5946572482585909</v>
      </c>
      <c r="W18" s="82">
        <f>IF(XIRR_Examples_BA!T18="","",XIRR_Examples_BA!T18)</f>
        <v>0.5955045321477026</v>
      </c>
      <c r="X18" s="82">
        <f>IF(XIRR_Examples_BA!U18="","",XIRR_Examples_BA!U18)</f>
        <v>0.5946572436786736</v>
      </c>
    </row>
    <row r="19" spans="5:24" ht="11.25">
      <c r="E19" s="63">
        <v>5</v>
      </c>
      <c r="F19" s="49">
        <f t="shared" si="4"/>
        <v>-1E-06</v>
      </c>
      <c r="G19" s="49">
        <f t="shared" si="5"/>
        <v>100</v>
      </c>
      <c r="H19" s="49">
        <f t="shared" si="4"/>
        <v>100</v>
      </c>
      <c r="I19" s="49">
        <f t="shared" si="4"/>
        <v>100</v>
      </c>
      <c r="J19" s="49">
        <f t="shared" si="4"/>
        <v>100</v>
      </c>
      <c r="K19" s="49">
        <f t="shared" si="4"/>
        <v>100</v>
      </c>
      <c r="L19" s="49">
        <f t="shared" si="4"/>
        <v>100</v>
      </c>
      <c r="M19" s="49">
        <f t="shared" si="4"/>
        <v>100</v>
      </c>
      <c r="N19" s="49">
        <f t="shared" si="4"/>
        <v>100</v>
      </c>
      <c r="O19" s="49">
        <f t="shared" si="4"/>
        <v>100</v>
      </c>
      <c r="P19" s="49">
        <f t="shared" si="4"/>
        <v>100</v>
      </c>
      <c r="Q19" s="49">
        <f t="shared" si="4"/>
        <v>100</v>
      </c>
      <c r="R19" s="73">
        <f>-XIRR_Examples_BA!Q19</f>
        <v>-1100</v>
      </c>
      <c r="T19" s="11" t="e">
        <f t="shared" si="3"/>
        <v>#NUM!</v>
      </c>
      <c r="U19" s="48">
        <f t="shared" si="1"/>
        <v>1.8381909328013535E-09</v>
      </c>
      <c r="V19" s="82">
        <f>IF(XIRR_Examples_BA!S19="","",XIRR_Examples_BA!S19)</f>
        <v>2.9802322387695314E-09</v>
      </c>
      <c r="W19" s="82">
        <f>IF(XIRR_Examples_BA!T19="","",XIRR_Examples_BA!T19)</f>
        <v>2.6645352591003757E-15</v>
      </c>
      <c r="X19" s="82">
        <f>IF(XIRR_Examples_BA!U19="","",XIRR_Examples_BA!U19)</f>
        <v>8.080677531524686E-13</v>
      </c>
    </row>
    <row r="20" spans="5:24" ht="11.25">
      <c r="E20" s="63">
        <v>6</v>
      </c>
      <c r="F20" s="49">
        <f t="shared" si="4"/>
        <v>-1E-06</v>
      </c>
      <c r="G20" s="49">
        <f t="shared" si="5"/>
        <v>100</v>
      </c>
      <c r="H20" s="49">
        <f t="shared" si="4"/>
        <v>100</v>
      </c>
      <c r="I20" s="49">
        <f t="shared" si="4"/>
        <v>100</v>
      </c>
      <c r="J20" s="49">
        <f t="shared" si="4"/>
        <v>100</v>
      </c>
      <c r="K20" s="49">
        <f t="shared" si="4"/>
        <v>100</v>
      </c>
      <c r="L20" s="49">
        <f t="shared" si="4"/>
        <v>100</v>
      </c>
      <c r="M20" s="49">
        <f t="shared" si="4"/>
        <v>100</v>
      </c>
      <c r="N20" s="49">
        <f t="shared" si="4"/>
        <v>100</v>
      </c>
      <c r="O20" s="49">
        <f t="shared" si="4"/>
        <v>100</v>
      </c>
      <c r="P20" s="49">
        <f t="shared" si="4"/>
        <v>100</v>
      </c>
      <c r="Q20" s="49">
        <f t="shared" si="4"/>
        <v>100</v>
      </c>
      <c r="R20" s="73">
        <f>-XIRR_Examples_BA!Q20</f>
        <v>-1000</v>
      </c>
      <c r="T20" s="11" t="e">
        <f t="shared" si="3"/>
        <v>#NUM!</v>
      </c>
      <c r="U20" s="48" t="e">
        <f t="shared" si="1"/>
        <v>#NUM!</v>
      </c>
      <c r="V20" s="82">
        <f>IF(XIRR_Examples_BA!S20="","",XIRR_Examples_BA!S20)</f>
        <v>-0.17548887841403485</v>
      </c>
      <c r="W20" s="82">
        <f>IF(XIRR_Examples_BA!T20="","",XIRR_Examples_BA!T20)</f>
        <v>-0.17569288109179915</v>
      </c>
      <c r="X20" s="82">
        <f>IF(XIRR_Examples_BA!U20="","",XIRR_Examples_BA!U20)</f>
        <v>-0.1754888791726431</v>
      </c>
    </row>
    <row r="21" spans="5:24" ht="11.25">
      <c r="E21" s="63">
        <v>7</v>
      </c>
      <c r="F21" s="49">
        <f t="shared" si="4"/>
        <v>-1E-06</v>
      </c>
      <c r="G21" s="49">
        <f t="shared" si="5"/>
        <v>100</v>
      </c>
      <c r="H21" s="49">
        <f t="shared" si="4"/>
        <v>100</v>
      </c>
      <c r="I21" s="49">
        <f t="shared" si="4"/>
        <v>100</v>
      </c>
      <c r="J21" s="49">
        <f t="shared" si="4"/>
        <v>100</v>
      </c>
      <c r="K21" s="49">
        <f t="shared" si="4"/>
        <v>100</v>
      </c>
      <c r="L21" s="49">
        <f t="shared" si="4"/>
        <v>100</v>
      </c>
      <c r="M21" s="49">
        <f t="shared" si="4"/>
        <v>100</v>
      </c>
      <c r="N21" s="49">
        <f t="shared" si="4"/>
        <v>100</v>
      </c>
      <c r="O21" s="49">
        <f t="shared" si="4"/>
        <v>100</v>
      </c>
      <c r="P21" s="49">
        <f t="shared" si="4"/>
        <v>100</v>
      </c>
      <c r="Q21" s="49">
        <f t="shared" si="4"/>
        <v>100</v>
      </c>
      <c r="R21" s="73">
        <f>-XIRR_Examples_BA!Q21</f>
        <v>-912.93</v>
      </c>
      <c r="T21" s="11" t="e">
        <f t="shared" si="3"/>
        <v>#NUM!</v>
      </c>
      <c r="U21" s="48" t="e">
        <f t="shared" si="1"/>
        <v>#DIV/0!</v>
      </c>
      <c r="V21" s="82">
        <f>IF(XIRR_Examples_BA!S21="","",XIRR_Examples_BA!S21)</f>
        <v>-0.31783618517220036</v>
      </c>
      <c r="W21" s="82">
        <f>IF(XIRR_Examples_BA!T21="","",XIRR_Examples_BA!T21)</f>
        <v>-0.3181789285794756</v>
      </c>
      <c r="X21" s="82">
        <f>IF(XIRR_Examples_BA!U21="","",XIRR_Examples_BA!U21)</f>
        <v>-0.317836186216136</v>
      </c>
    </row>
    <row r="22" spans="5:24" ht="11.25">
      <c r="E22" s="63">
        <v>8</v>
      </c>
      <c r="F22" s="49">
        <f t="shared" si="4"/>
        <v>-1E-06</v>
      </c>
      <c r="G22" s="49">
        <f t="shared" si="5"/>
        <v>100</v>
      </c>
      <c r="H22" s="49">
        <f t="shared" si="4"/>
        <v>100</v>
      </c>
      <c r="I22" s="49">
        <f t="shared" si="4"/>
        <v>100</v>
      </c>
      <c r="J22" s="49">
        <f t="shared" si="4"/>
        <v>100</v>
      </c>
      <c r="K22" s="49">
        <f t="shared" si="4"/>
        <v>100</v>
      </c>
      <c r="L22" s="49">
        <f t="shared" si="4"/>
        <v>100</v>
      </c>
      <c r="M22" s="49">
        <f t="shared" si="4"/>
        <v>100</v>
      </c>
      <c r="N22" s="49">
        <f t="shared" si="4"/>
        <v>100</v>
      </c>
      <c r="O22" s="49">
        <f t="shared" si="4"/>
        <v>100</v>
      </c>
      <c r="P22" s="49">
        <f t="shared" si="4"/>
        <v>100</v>
      </c>
      <c r="Q22" s="49">
        <f t="shared" si="4"/>
        <v>100</v>
      </c>
      <c r="R22" s="73">
        <f>-XIRR_Examples_BA!Q22</f>
        <v>-912.92</v>
      </c>
      <c r="T22" s="11" t="e">
        <f t="shared" si="3"/>
        <v>#NUM!</v>
      </c>
      <c r="U22" s="48" t="e">
        <f t="shared" si="1"/>
        <v>#DIV/0!</v>
      </c>
      <c r="V22" s="82">
        <f>IF(XIRR_Examples_BA!S22="","",XIRR_Examples_BA!S22)</f>
        <v>-0.31785194650292403</v>
      </c>
      <c r="W22" s="82" t="e">
        <f>IF(XIRR_Examples_BA!T22="","",XIRR_Examples_BA!T22)</f>
        <v>#NUM!</v>
      </c>
      <c r="X22" s="82">
        <f>IF(XIRR_Examples_BA!U22="","",XIRR_Examples_BA!U22)</f>
        <v>-0.31785194631638325</v>
      </c>
    </row>
    <row r="23" spans="5:24" ht="11.25">
      <c r="E23" s="63">
        <v>9</v>
      </c>
      <c r="F23" s="49">
        <f t="shared" si="4"/>
        <v>-1E-06</v>
      </c>
      <c r="G23" s="49">
        <f t="shared" si="5"/>
        <v>100</v>
      </c>
      <c r="H23" s="49">
        <f t="shared" si="4"/>
        <v>100</v>
      </c>
      <c r="I23" s="49">
        <f t="shared" si="4"/>
        <v>100</v>
      </c>
      <c r="J23" s="49">
        <f t="shared" si="4"/>
        <v>100</v>
      </c>
      <c r="K23" s="49">
        <f t="shared" si="4"/>
        <v>100</v>
      </c>
      <c r="L23" s="49">
        <f t="shared" si="4"/>
        <v>100</v>
      </c>
      <c r="M23" s="49">
        <f t="shared" si="4"/>
        <v>100</v>
      </c>
      <c r="N23" s="49">
        <f t="shared" si="4"/>
        <v>100</v>
      </c>
      <c r="O23" s="49">
        <f t="shared" si="4"/>
        <v>100</v>
      </c>
      <c r="P23" s="49">
        <f t="shared" si="4"/>
        <v>100</v>
      </c>
      <c r="Q23" s="49">
        <f t="shared" si="4"/>
        <v>100</v>
      </c>
      <c r="R23" s="73">
        <f>-XIRR_Examples_BA!Q23</f>
        <v>-900</v>
      </c>
      <c r="T23" s="11" t="e">
        <f t="shared" si="3"/>
        <v>#NUM!</v>
      </c>
      <c r="U23" s="48" t="e">
        <f t="shared" si="1"/>
        <v>#DIV/0!</v>
      </c>
      <c r="V23" s="82">
        <f>IF(XIRR_Examples_BA!S23="","",XIRR_Examples_BA!S23)</f>
        <v>2.9802322387695314E-09</v>
      </c>
      <c r="W23" s="82" t="e">
        <f>IF(XIRR_Examples_BA!T23="","",XIRR_Examples_BA!T23)</f>
        <v>#NUM!</v>
      </c>
      <c r="X23" s="82">
        <f>IF(XIRR_Examples_BA!U23="","",XIRR_Examples_BA!U23)</f>
        <v>-0.3380985094681316</v>
      </c>
    </row>
    <row r="24" spans="5:24" ht="11.25">
      <c r="E24" s="63">
        <v>10</v>
      </c>
      <c r="F24" s="49">
        <f t="shared" si="4"/>
        <v>-1E-06</v>
      </c>
      <c r="G24" s="49">
        <f t="shared" si="5"/>
        <v>100</v>
      </c>
      <c r="H24" s="49">
        <f t="shared" si="4"/>
        <v>100</v>
      </c>
      <c r="I24" s="49">
        <f t="shared" si="4"/>
        <v>100</v>
      </c>
      <c r="J24" s="49">
        <f t="shared" si="4"/>
        <v>100</v>
      </c>
      <c r="K24" s="49">
        <f t="shared" si="4"/>
        <v>100</v>
      </c>
      <c r="L24" s="49">
        <f t="shared" si="4"/>
        <v>100</v>
      </c>
      <c r="M24" s="49">
        <f t="shared" si="4"/>
        <v>100</v>
      </c>
      <c r="N24" s="49">
        <f t="shared" si="4"/>
        <v>100</v>
      </c>
      <c r="O24" s="49">
        <f t="shared" si="4"/>
        <v>100</v>
      </c>
      <c r="P24" s="49">
        <f t="shared" si="4"/>
        <v>100</v>
      </c>
      <c r="Q24" s="49">
        <f t="shared" si="4"/>
        <v>100</v>
      </c>
      <c r="R24" s="73">
        <f>-XIRR_Examples_BA!Q24</f>
        <v>-800</v>
      </c>
      <c r="T24" s="11" t="e">
        <f t="shared" si="3"/>
        <v>#NUM!</v>
      </c>
      <c r="U24" s="80">
        <f t="shared" si="1"/>
        <v>1.000000120000006E+96</v>
      </c>
      <c r="V24" s="82">
        <f>IF(XIRR_Examples_BA!S24="","",XIRR_Examples_BA!S24)</f>
        <v>2.9802322387695314E-09</v>
      </c>
      <c r="W24" s="82" t="e">
        <f>IF(XIRR_Examples_BA!T24="","",XIRR_Examples_BA!T24)</f>
        <v>#DIV/0!</v>
      </c>
      <c r="X24" s="82">
        <f>IF(XIRR_Examples_BA!U24="","",XIRR_Examples_BA!U24)</f>
        <v>-0.48669029292639515</v>
      </c>
    </row>
    <row r="25" spans="5:24" ht="11.25">
      <c r="E25" s="63">
        <v>11</v>
      </c>
      <c r="F25" s="49">
        <f t="shared" si="4"/>
        <v>-1E-06</v>
      </c>
      <c r="G25" s="49">
        <f t="shared" si="5"/>
        <v>100</v>
      </c>
      <c r="H25" s="49">
        <f t="shared" si="4"/>
        <v>100</v>
      </c>
      <c r="I25" s="49">
        <f t="shared" si="4"/>
        <v>100</v>
      </c>
      <c r="J25" s="49">
        <f t="shared" si="4"/>
        <v>100</v>
      </c>
      <c r="K25" s="49">
        <f t="shared" si="4"/>
        <v>100</v>
      </c>
      <c r="L25" s="49">
        <f t="shared" si="4"/>
        <v>100</v>
      </c>
      <c r="M25" s="49">
        <f t="shared" si="4"/>
        <v>100</v>
      </c>
      <c r="N25" s="49">
        <f t="shared" si="4"/>
        <v>100</v>
      </c>
      <c r="O25" s="49">
        <f t="shared" si="4"/>
        <v>100</v>
      </c>
      <c r="P25" s="49">
        <f t="shared" si="4"/>
        <v>100</v>
      </c>
      <c r="Q25" s="49">
        <f t="shared" si="4"/>
        <v>100</v>
      </c>
      <c r="R25" s="73">
        <f>-XIRR_Examples_BA!Q25</f>
        <v>-700</v>
      </c>
      <c r="T25" s="11" t="e">
        <f t="shared" si="3"/>
        <v>#NUM!</v>
      </c>
      <c r="U25" s="80">
        <f t="shared" si="1"/>
        <v>1.0000001200000082E+96</v>
      </c>
      <c r="V25" s="82">
        <f>IF(XIRR_Examples_BA!S25="","",XIRR_Examples_BA!S25)</f>
        <v>2.9802322387695314E-09</v>
      </c>
      <c r="W25" s="82" t="e">
        <f>IF(XIRR_Examples_BA!T25="","",XIRR_Examples_BA!T25)</f>
        <v>#DIV/0!</v>
      </c>
      <c r="X25" s="82">
        <f>IF(XIRR_Examples_BA!U25="","",XIRR_Examples_BA!U25)</f>
        <v>-0.619921035788605</v>
      </c>
    </row>
    <row r="26" spans="5:24" ht="11.25">
      <c r="E26" s="63">
        <v>12</v>
      </c>
      <c r="F26" s="49">
        <f t="shared" si="4"/>
        <v>-1E-06</v>
      </c>
      <c r="G26" s="49">
        <f t="shared" si="5"/>
        <v>100</v>
      </c>
      <c r="H26" s="49">
        <f t="shared" si="4"/>
        <v>100</v>
      </c>
      <c r="I26" s="49">
        <f t="shared" si="4"/>
        <v>100</v>
      </c>
      <c r="J26" s="49">
        <f t="shared" si="4"/>
        <v>100</v>
      </c>
      <c r="K26" s="49">
        <f t="shared" si="4"/>
        <v>100</v>
      </c>
      <c r="L26" s="49">
        <f t="shared" si="4"/>
        <v>100</v>
      </c>
      <c r="M26" s="49">
        <f t="shared" si="4"/>
        <v>100</v>
      </c>
      <c r="N26" s="49">
        <f t="shared" si="4"/>
        <v>100</v>
      </c>
      <c r="O26" s="49">
        <f t="shared" si="4"/>
        <v>100</v>
      </c>
      <c r="P26" s="49">
        <f t="shared" si="4"/>
        <v>100</v>
      </c>
      <c r="Q26" s="49">
        <f t="shared" si="4"/>
        <v>100</v>
      </c>
      <c r="R26" s="73">
        <f>-XIRR_Examples_BA!Q26</f>
        <v>-600</v>
      </c>
      <c r="T26" s="11" t="e">
        <f t="shared" si="3"/>
        <v>#NUM!</v>
      </c>
      <c r="U26" s="80">
        <f t="shared" si="1"/>
        <v>1.0000001200000082E+96</v>
      </c>
      <c r="V26" s="82">
        <f>IF(XIRR_Examples_BA!S26="","",XIRR_Examples_BA!S26)</f>
        <v>2.9802322387695314E-09</v>
      </c>
      <c r="W26" s="82" t="e">
        <f>IF(XIRR_Examples_BA!T26="","",XIRR_Examples_BA!T26)</f>
        <v>#DIV/0!</v>
      </c>
      <c r="X26" s="82">
        <f>IF(XIRR_Examples_BA!U26="","",XIRR_Examples_BA!U26)</f>
        <v>-0.7361974364457956</v>
      </c>
    </row>
    <row r="27" spans="5:24" ht="11.25">
      <c r="E27" s="63">
        <v>13</v>
      </c>
      <c r="F27" s="49">
        <f t="shared" si="4"/>
        <v>-1E-06</v>
      </c>
      <c r="G27" s="49">
        <f t="shared" si="5"/>
        <v>100</v>
      </c>
      <c r="H27" s="49">
        <f t="shared" si="4"/>
        <v>100</v>
      </c>
      <c r="I27" s="49">
        <f t="shared" si="4"/>
        <v>100</v>
      </c>
      <c r="J27" s="49">
        <f t="shared" si="4"/>
        <v>100</v>
      </c>
      <c r="K27" s="49">
        <f t="shared" si="4"/>
        <v>100</v>
      </c>
      <c r="L27" s="49">
        <f t="shared" si="4"/>
        <v>100</v>
      </c>
      <c r="M27" s="49">
        <f t="shared" si="4"/>
        <v>100</v>
      </c>
      <c r="N27" s="49">
        <f t="shared" si="4"/>
        <v>100</v>
      </c>
      <c r="O27" s="49">
        <f t="shared" si="4"/>
        <v>100</v>
      </c>
      <c r="P27" s="49">
        <f t="shared" si="4"/>
        <v>100</v>
      </c>
      <c r="Q27" s="49">
        <f t="shared" si="4"/>
        <v>100</v>
      </c>
      <c r="R27" s="73">
        <f>-XIRR_Examples_BA!Q27</f>
        <v>-500</v>
      </c>
      <c r="T27" s="11" t="e">
        <f t="shared" si="3"/>
        <v>#NUM!</v>
      </c>
      <c r="U27" s="80">
        <f t="shared" si="1"/>
        <v>1.0000001200000082E+96</v>
      </c>
      <c r="V27" s="82">
        <f>IF(XIRR_Examples_BA!S27="","",XIRR_Examples_BA!S27)</f>
        <v>2.9802322387695314E-09</v>
      </c>
      <c r="W27" s="82" t="e">
        <f>IF(XIRR_Examples_BA!T27="","",XIRR_Examples_BA!T27)</f>
        <v>#NUM!</v>
      </c>
      <c r="X27" s="82">
        <f>IF(XIRR_Examples_BA!U27="","",XIRR_Examples_BA!U27)</f>
        <v>-0.8336343312879321</v>
      </c>
    </row>
    <row r="28" spans="5:24" ht="11.25">
      <c r="E28" s="63">
        <v>14</v>
      </c>
      <c r="F28" s="49">
        <f t="shared" si="4"/>
        <v>-1E-06</v>
      </c>
      <c r="G28" s="49">
        <f t="shared" si="5"/>
        <v>100</v>
      </c>
      <c r="H28" s="49">
        <f t="shared" si="4"/>
        <v>100</v>
      </c>
      <c r="I28" s="49">
        <f t="shared" si="4"/>
        <v>100</v>
      </c>
      <c r="J28" s="49">
        <f t="shared" si="4"/>
        <v>100</v>
      </c>
      <c r="K28" s="49">
        <f t="shared" si="4"/>
        <v>100</v>
      </c>
      <c r="L28" s="49">
        <f t="shared" si="4"/>
        <v>100</v>
      </c>
      <c r="M28" s="49">
        <f t="shared" si="4"/>
        <v>100</v>
      </c>
      <c r="N28" s="49">
        <f t="shared" si="4"/>
        <v>100</v>
      </c>
      <c r="O28" s="49">
        <f t="shared" si="4"/>
        <v>100</v>
      </c>
      <c r="P28" s="49">
        <f t="shared" si="4"/>
        <v>100</v>
      </c>
      <c r="Q28" s="49">
        <f t="shared" si="4"/>
        <v>100</v>
      </c>
      <c r="R28" s="73">
        <f>-XIRR_Examples_BA!Q28</f>
        <v>-400</v>
      </c>
      <c r="T28" s="11" t="e">
        <f t="shared" si="3"/>
        <v>#NUM!</v>
      </c>
      <c r="U28" s="80">
        <f t="shared" si="1"/>
        <v>1.0000001200000082E+96</v>
      </c>
      <c r="V28" s="82">
        <f>IF(XIRR_Examples_BA!S28="","",XIRR_Examples_BA!S28)</f>
        <v>2.9802322387695314E-09</v>
      </c>
      <c r="W28" s="82" t="e">
        <f>IF(XIRR_Examples_BA!T28="","",XIRR_Examples_BA!T28)</f>
        <v>#DIV/0!</v>
      </c>
      <c r="X28" s="82">
        <f>IF(XIRR_Examples_BA!U28="","",XIRR_Examples_BA!U28)</f>
        <v>-0.910059591528653</v>
      </c>
    </row>
    <row r="29" spans="5:24" ht="11.25">
      <c r="E29" s="63">
        <v>15</v>
      </c>
      <c r="F29" s="49">
        <f t="shared" si="4"/>
        <v>-1E-06</v>
      </c>
      <c r="G29" s="49">
        <f t="shared" si="5"/>
        <v>100</v>
      </c>
      <c r="H29" s="49">
        <f t="shared" si="4"/>
        <v>100</v>
      </c>
      <c r="I29" s="49">
        <f t="shared" si="4"/>
        <v>100</v>
      </c>
      <c r="J29" s="49">
        <f t="shared" si="4"/>
        <v>100</v>
      </c>
      <c r="K29" s="49">
        <f t="shared" si="4"/>
        <v>100</v>
      </c>
      <c r="L29" s="49">
        <f t="shared" si="4"/>
        <v>100</v>
      </c>
      <c r="M29" s="49">
        <f t="shared" si="4"/>
        <v>100</v>
      </c>
      <c r="N29" s="49">
        <f t="shared" si="4"/>
        <v>100</v>
      </c>
      <c r="O29" s="49">
        <f t="shared" si="4"/>
        <v>100</v>
      </c>
      <c r="P29" s="49">
        <f t="shared" si="4"/>
        <v>100</v>
      </c>
      <c r="Q29" s="49">
        <f t="shared" si="4"/>
        <v>100</v>
      </c>
      <c r="R29" s="73">
        <f>-XIRR_Examples_BA!Q29</f>
        <v>-300</v>
      </c>
      <c r="T29" s="11" t="e">
        <f t="shared" si="3"/>
        <v>#NUM!</v>
      </c>
      <c r="U29" s="80">
        <f t="shared" si="1"/>
        <v>1.0000001200000082E+96</v>
      </c>
      <c r="V29" s="82">
        <f>IF(XIRR_Examples_BA!S29="","",XIRR_Examples_BA!S29)</f>
        <v>2.9802322387695314E-09</v>
      </c>
      <c r="W29" s="82" t="e">
        <f>IF(XIRR_Examples_BA!T29="","",XIRR_Examples_BA!T29)</f>
        <v>#DIV/0!</v>
      </c>
      <c r="X29" s="82">
        <f>IF(XIRR_Examples_BA!U29="","",XIRR_Examples_BA!U29)</f>
        <v>-0.9632307634367795</v>
      </c>
    </row>
    <row r="30" spans="5:24" ht="11.25">
      <c r="E30" s="63">
        <v>16</v>
      </c>
      <c r="F30" s="49">
        <f t="shared" si="4"/>
        <v>-1E-06</v>
      </c>
      <c r="G30" s="49">
        <f t="shared" si="5"/>
        <v>100</v>
      </c>
      <c r="H30" s="49">
        <f t="shared" si="4"/>
        <v>100</v>
      </c>
      <c r="I30" s="49">
        <f t="shared" si="4"/>
        <v>100</v>
      </c>
      <c r="J30" s="49">
        <f t="shared" si="4"/>
        <v>100</v>
      </c>
      <c r="K30" s="49">
        <f t="shared" si="4"/>
        <v>100</v>
      </c>
      <c r="L30" s="49">
        <f t="shared" si="4"/>
        <v>100</v>
      </c>
      <c r="M30" s="49">
        <f t="shared" si="4"/>
        <v>100</v>
      </c>
      <c r="N30" s="49">
        <f t="shared" si="4"/>
        <v>100</v>
      </c>
      <c r="O30" s="49">
        <f t="shared" si="4"/>
        <v>100</v>
      </c>
      <c r="P30" s="49">
        <f t="shared" si="4"/>
        <v>100</v>
      </c>
      <c r="Q30" s="49">
        <f t="shared" si="4"/>
        <v>100</v>
      </c>
      <c r="R30" s="73">
        <f>-XIRR_Examples_BA!Q30</f>
        <v>-200</v>
      </c>
      <c r="T30" s="11" t="e">
        <f t="shared" si="3"/>
        <v>#NUM!</v>
      </c>
      <c r="U30" s="80">
        <f t="shared" si="1"/>
        <v>1.000000120000006E+96</v>
      </c>
      <c r="V30" s="82">
        <f>IF(XIRR_Examples_BA!S30="","",XIRR_Examples_BA!S30)</f>
        <v>2.9802322387695314E-09</v>
      </c>
      <c r="W30" s="82" t="e">
        <f>IF(XIRR_Examples_BA!T30="","",XIRR_Examples_BA!T30)</f>
        <v>#DIV/0!</v>
      </c>
      <c r="X30" s="82">
        <f>IF(XIRR_Examples_BA!U30="","",XIRR_Examples_BA!U30)</f>
        <v>-0.9918988759531077</v>
      </c>
    </row>
    <row r="31" spans="5:24" ht="11.25">
      <c r="E31" s="63">
        <v>17</v>
      </c>
      <c r="F31" s="49">
        <f t="shared" si="4"/>
        <v>-1E-06</v>
      </c>
      <c r="G31" s="49">
        <f t="shared" si="5"/>
        <v>100</v>
      </c>
      <c r="H31" s="49">
        <f t="shared" si="4"/>
        <v>100</v>
      </c>
      <c r="I31" s="49">
        <f t="shared" si="4"/>
        <v>100</v>
      </c>
      <c r="J31" s="49">
        <f t="shared" si="4"/>
        <v>100</v>
      </c>
      <c r="K31" s="49">
        <f t="shared" si="4"/>
        <v>100</v>
      </c>
      <c r="L31" s="49">
        <f t="shared" si="4"/>
        <v>100</v>
      </c>
      <c r="M31" s="49">
        <f t="shared" si="4"/>
        <v>100</v>
      </c>
      <c r="N31" s="49">
        <f t="shared" si="4"/>
        <v>100</v>
      </c>
      <c r="O31" s="49">
        <f t="shared" si="4"/>
        <v>100</v>
      </c>
      <c r="P31" s="49">
        <f t="shared" si="4"/>
        <v>100</v>
      </c>
      <c r="Q31" s="49">
        <f t="shared" si="4"/>
        <v>100</v>
      </c>
      <c r="R31" s="73">
        <f>-XIRR_Examples_BA!Q31</f>
        <v>-100</v>
      </c>
      <c r="T31" s="11" t="e">
        <f t="shared" si="3"/>
        <v>#NUM!</v>
      </c>
      <c r="U31" s="80">
        <f t="shared" si="1"/>
        <v>1.0000001200000082E+96</v>
      </c>
      <c r="V31" s="82">
        <f>IF(XIRR_Examples_BA!S31="","",XIRR_Examples_BA!S31)</f>
        <v>2.9802322387695314E-09</v>
      </c>
      <c r="W31" s="82" t="e">
        <f>IF(XIRR_Examples_BA!T31="","",XIRR_Examples_BA!T31)</f>
        <v>#DIV/0!</v>
      </c>
      <c r="X31" s="82">
        <f>IF(XIRR_Examples_BA!U31="","",XIRR_Examples_BA!U31)</f>
      </c>
    </row>
    <row r="32" spans="5:24" ht="11.25">
      <c r="E32" s="63">
        <v>18</v>
      </c>
      <c r="F32" s="49">
        <f t="shared" si="4"/>
        <v>-1E-06</v>
      </c>
      <c r="G32" s="49">
        <f t="shared" si="4"/>
        <v>100</v>
      </c>
      <c r="H32" s="49">
        <f t="shared" si="4"/>
        <v>100</v>
      </c>
      <c r="I32" s="49">
        <f t="shared" si="4"/>
        <v>100</v>
      </c>
      <c r="J32" s="49">
        <f t="shared" si="4"/>
        <v>100</v>
      </c>
      <c r="K32" s="49">
        <f t="shared" si="4"/>
        <v>100</v>
      </c>
      <c r="L32" s="49">
        <f t="shared" si="4"/>
        <v>100</v>
      </c>
      <c r="M32" s="49">
        <f t="shared" si="4"/>
        <v>100</v>
      </c>
      <c r="N32" s="49">
        <f t="shared" si="4"/>
        <v>100</v>
      </c>
      <c r="O32" s="49">
        <f t="shared" si="4"/>
        <v>100</v>
      </c>
      <c r="P32" s="49">
        <f t="shared" si="4"/>
        <v>100</v>
      </c>
      <c r="Q32" s="49">
        <f t="shared" si="4"/>
        <v>100</v>
      </c>
      <c r="R32" s="73">
        <f>-XIRR_Examples_BA!Q32</f>
        <v>0</v>
      </c>
      <c r="T32" s="11" t="e">
        <f t="shared" si="3"/>
        <v>#NUM!</v>
      </c>
      <c r="U32" s="80">
        <f t="shared" si="1"/>
        <v>1.0000001200000082E+96</v>
      </c>
      <c r="V32" s="82" t="e">
        <f>IF(XIRR_Examples_BA!S32="","",XIRR_Examples_BA!S32)</f>
        <v>#NUM!</v>
      </c>
      <c r="W32" s="82" t="e">
        <f>IF(XIRR_Examples_BA!T32="","",XIRR_Examples_BA!T32)</f>
        <v>#NUM!</v>
      </c>
      <c r="X32" s="82">
        <f>IF(XIRR_Examples_BA!U32="","",XIRR_Examples_BA!U32)</f>
      </c>
    </row>
    <row r="33" spans="5:24" ht="11.25">
      <c r="E33" s="63">
        <v>19</v>
      </c>
      <c r="F33" s="49">
        <f aca="true" t="shared" si="6" ref="F33:Q39">F$15</f>
        <v>-1E-06</v>
      </c>
      <c r="G33" s="49">
        <f t="shared" si="6"/>
        <v>100</v>
      </c>
      <c r="H33" s="49">
        <f t="shared" si="6"/>
        <v>100</v>
      </c>
      <c r="I33" s="49">
        <f t="shared" si="6"/>
        <v>100</v>
      </c>
      <c r="J33" s="49">
        <f t="shared" si="6"/>
        <v>100</v>
      </c>
      <c r="K33" s="49">
        <f t="shared" si="6"/>
        <v>100</v>
      </c>
      <c r="L33" s="49">
        <f t="shared" si="6"/>
        <v>100</v>
      </c>
      <c r="M33" s="49">
        <f t="shared" si="6"/>
        <v>100</v>
      </c>
      <c r="N33" s="49">
        <f t="shared" si="6"/>
        <v>100</v>
      </c>
      <c r="O33" s="49">
        <f t="shared" si="6"/>
        <v>100</v>
      </c>
      <c r="P33" s="49">
        <f t="shared" si="6"/>
        <v>100</v>
      </c>
      <c r="Q33" s="49">
        <f t="shared" si="6"/>
        <v>100</v>
      </c>
      <c r="R33" s="73">
        <f>-XIRR_Examples_BA!Q33</f>
        <v>100</v>
      </c>
      <c r="T33" s="11" t="e">
        <f t="shared" si="3"/>
        <v>#NUM!</v>
      </c>
      <c r="U33" s="80">
        <f t="shared" si="1"/>
        <v>1.000000120000006E+96</v>
      </c>
      <c r="V33" s="82" t="e">
        <f>IF(XIRR_Examples_BA!S33="","",XIRR_Examples_BA!S33)</f>
        <v>#NUM!</v>
      </c>
      <c r="W33" s="82" t="e">
        <f>IF(XIRR_Examples_BA!T33="","",XIRR_Examples_BA!T33)</f>
        <v>#DIV/0!</v>
      </c>
      <c r="X33" s="82">
        <f>IF(XIRR_Examples_BA!U33="","",XIRR_Examples_BA!U33)</f>
      </c>
    </row>
    <row r="34" spans="5:24" ht="11.25">
      <c r="E34" s="63">
        <v>20</v>
      </c>
      <c r="F34" s="49">
        <f t="shared" si="6"/>
        <v>-1E-06</v>
      </c>
      <c r="G34" s="49">
        <f t="shared" si="6"/>
        <v>100</v>
      </c>
      <c r="H34" s="49">
        <f t="shared" si="6"/>
        <v>100</v>
      </c>
      <c r="I34" s="49">
        <f t="shared" si="6"/>
        <v>100</v>
      </c>
      <c r="J34" s="49">
        <f t="shared" si="6"/>
        <v>100</v>
      </c>
      <c r="K34" s="49">
        <f t="shared" si="6"/>
        <v>100</v>
      </c>
      <c r="L34" s="49">
        <f t="shared" si="6"/>
        <v>100</v>
      </c>
      <c r="M34" s="49">
        <f t="shared" si="6"/>
        <v>100</v>
      </c>
      <c r="N34" s="49">
        <f t="shared" si="6"/>
        <v>100</v>
      </c>
      <c r="O34" s="49">
        <f t="shared" si="6"/>
        <v>100</v>
      </c>
      <c r="P34" s="49">
        <f t="shared" si="6"/>
        <v>100</v>
      </c>
      <c r="Q34" s="49">
        <f t="shared" si="6"/>
        <v>100</v>
      </c>
      <c r="R34" s="73">
        <f>-XIRR_Examples_BA!Q34</f>
        <v>200</v>
      </c>
      <c r="T34" s="11" t="e">
        <f t="shared" si="3"/>
        <v>#NUM!</v>
      </c>
      <c r="U34" s="80">
        <f t="shared" si="1"/>
        <v>1.0000001200000082E+96</v>
      </c>
      <c r="V34" s="82" t="e">
        <f>IF(XIRR_Examples_BA!S34="","",XIRR_Examples_BA!S34)</f>
        <v>#NUM!</v>
      </c>
      <c r="W34" s="82" t="e">
        <f>IF(XIRR_Examples_BA!T34="","",XIRR_Examples_BA!T34)</f>
        <v>#DIV/0!</v>
      </c>
      <c r="X34" s="82">
        <f>IF(XIRR_Examples_BA!U34="","",XIRR_Examples_BA!U34)</f>
      </c>
    </row>
    <row r="35" spans="5:24" ht="11.25">
      <c r="E35" s="63">
        <v>21</v>
      </c>
      <c r="F35" s="49">
        <f t="shared" si="6"/>
        <v>-1E-06</v>
      </c>
      <c r="G35" s="49">
        <f t="shared" si="6"/>
        <v>100</v>
      </c>
      <c r="H35" s="49">
        <f t="shared" si="6"/>
        <v>100</v>
      </c>
      <c r="I35" s="49">
        <f t="shared" si="6"/>
        <v>100</v>
      </c>
      <c r="J35" s="49">
        <f t="shared" si="6"/>
        <v>100</v>
      </c>
      <c r="K35" s="49">
        <f t="shared" si="6"/>
        <v>100</v>
      </c>
      <c r="L35" s="49">
        <f t="shared" si="6"/>
        <v>100</v>
      </c>
      <c r="M35" s="49">
        <f t="shared" si="6"/>
        <v>100</v>
      </c>
      <c r="N35" s="49">
        <f t="shared" si="6"/>
        <v>100</v>
      </c>
      <c r="O35" s="49">
        <f t="shared" si="6"/>
        <v>100</v>
      </c>
      <c r="P35" s="49">
        <f t="shared" si="6"/>
        <v>100</v>
      </c>
      <c r="Q35" s="49">
        <f t="shared" si="6"/>
        <v>100</v>
      </c>
      <c r="R35" s="73">
        <f>-XIRR_Examples_BA!Q35</f>
        <v>1200</v>
      </c>
      <c r="T35" s="11" t="e">
        <f t="shared" si="3"/>
        <v>#NUM!</v>
      </c>
      <c r="U35" s="80">
        <f t="shared" si="1"/>
        <v>1.0000001200000082E+96</v>
      </c>
      <c r="V35" s="82" t="e">
        <f>IF(XIRR_Examples_BA!S35="","",XIRR_Examples_BA!S35)</f>
        <v>#NUM!</v>
      </c>
      <c r="W35" s="82" t="e">
        <f>IF(XIRR_Examples_BA!T35="","",XIRR_Examples_BA!T35)</f>
        <v>#DIV/0!</v>
      </c>
      <c r="X35" s="82">
        <f>IF(XIRR_Examples_BA!U35="","",XIRR_Examples_BA!U35)</f>
      </c>
    </row>
    <row r="36" spans="5:24" ht="11.25">
      <c r="E36" s="63">
        <v>22</v>
      </c>
      <c r="F36" s="49">
        <f t="shared" si="6"/>
        <v>-1E-06</v>
      </c>
      <c r="G36" s="49">
        <f t="shared" si="6"/>
        <v>100</v>
      </c>
      <c r="H36" s="49">
        <f t="shared" si="6"/>
        <v>100</v>
      </c>
      <c r="I36" s="49">
        <f t="shared" si="6"/>
        <v>100</v>
      </c>
      <c r="J36" s="49">
        <f t="shared" si="6"/>
        <v>100</v>
      </c>
      <c r="K36" s="49">
        <f t="shared" si="6"/>
        <v>100</v>
      </c>
      <c r="L36" s="49">
        <f t="shared" si="6"/>
        <v>100</v>
      </c>
      <c r="M36" s="49">
        <f t="shared" si="6"/>
        <v>100</v>
      </c>
      <c r="N36" s="49">
        <f t="shared" si="6"/>
        <v>100</v>
      </c>
      <c r="O36" s="49">
        <f t="shared" si="6"/>
        <v>100</v>
      </c>
      <c r="P36" s="49">
        <f t="shared" si="6"/>
        <v>100</v>
      </c>
      <c r="Q36" s="49">
        <f t="shared" si="6"/>
        <v>100</v>
      </c>
      <c r="R36" s="73">
        <f>-XIRR_Examples_BA!Q36</f>
        <v>1300</v>
      </c>
      <c r="T36" s="11" t="e">
        <f t="shared" si="3"/>
        <v>#NUM!</v>
      </c>
      <c r="U36" s="80">
        <f t="shared" si="1"/>
        <v>1.000000120000006E+96</v>
      </c>
      <c r="V36" s="82" t="e">
        <f>IF(XIRR_Examples_BA!S36="","",XIRR_Examples_BA!S36)</f>
        <v>#NUM!</v>
      </c>
      <c r="W36" s="82" t="e">
        <f>IF(XIRR_Examples_BA!T36="","",XIRR_Examples_BA!T36)</f>
        <v>#NUM!</v>
      </c>
      <c r="X36" s="82">
        <f>IF(XIRR_Examples_BA!U36="","",XIRR_Examples_BA!U36)</f>
      </c>
    </row>
    <row r="37" spans="5:24" ht="11.25">
      <c r="E37" s="63">
        <v>23</v>
      </c>
      <c r="F37" s="49">
        <f t="shared" si="6"/>
        <v>-1E-06</v>
      </c>
      <c r="G37" s="49">
        <f t="shared" si="6"/>
        <v>100</v>
      </c>
      <c r="H37" s="49">
        <f t="shared" si="6"/>
        <v>100</v>
      </c>
      <c r="I37" s="49">
        <f t="shared" si="6"/>
        <v>100</v>
      </c>
      <c r="J37" s="49">
        <f t="shared" si="6"/>
        <v>100</v>
      </c>
      <c r="K37" s="49">
        <f t="shared" si="6"/>
        <v>100</v>
      </c>
      <c r="L37" s="49">
        <f t="shared" si="6"/>
        <v>100</v>
      </c>
      <c r="M37" s="49">
        <f t="shared" si="6"/>
        <v>100</v>
      </c>
      <c r="N37" s="49">
        <f t="shared" si="6"/>
        <v>100</v>
      </c>
      <c r="O37" s="49">
        <f t="shared" si="6"/>
        <v>100</v>
      </c>
      <c r="P37" s="49">
        <f t="shared" si="6"/>
        <v>100</v>
      </c>
      <c r="Q37" s="49">
        <f t="shared" si="6"/>
        <v>100</v>
      </c>
      <c r="R37" s="73">
        <f>-XIRR_Examples_BA!Q37</f>
        <v>1400</v>
      </c>
      <c r="T37" s="11" t="e">
        <f t="shared" si="3"/>
        <v>#NUM!</v>
      </c>
      <c r="U37" s="80">
        <f t="shared" si="1"/>
        <v>1.000000120000006E+96</v>
      </c>
      <c r="V37" s="82" t="e">
        <f>IF(XIRR_Examples_BA!S37="","",XIRR_Examples_BA!S37)</f>
        <v>#NUM!</v>
      </c>
      <c r="W37" s="82" t="e">
        <f>IF(XIRR_Examples_BA!T37="","",XIRR_Examples_BA!T37)</f>
        <v>#NUM!</v>
      </c>
      <c r="X37" s="82">
        <f>IF(XIRR_Examples_BA!U37="","",XIRR_Examples_BA!U37)</f>
      </c>
    </row>
    <row r="38" spans="5:24" ht="11.25">
      <c r="E38" s="63">
        <v>24</v>
      </c>
      <c r="F38" s="49">
        <f t="shared" si="6"/>
        <v>-1E-06</v>
      </c>
      <c r="G38" s="49">
        <f t="shared" si="6"/>
        <v>100</v>
      </c>
      <c r="H38" s="49">
        <f t="shared" si="6"/>
        <v>100</v>
      </c>
      <c r="I38" s="49">
        <f t="shared" si="6"/>
        <v>100</v>
      </c>
      <c r="J38" s="49">
        <f t="shared" si="6"/>
        <v>100</v>
      </c>
      <c r="K38" s="49">
        <f t="shared" si="6"/>
        <v>100</v>
      </c>
      <c r="L38" s="49">
        <f t="shared" si="6"/>
        <v>100</v>
      </c>
      <c r="M38" s="49">
        <f t="shared" si="6"/>
        <v>100</v>
      </c>
      <c r="N38" s="49">
        <f t="shared" si="6"/>
        <v>100</v>
      </c>
      <c r="O38" s="49">
        <f t="shared" si="6"/>
        <v>100</v>
      </c>
      <c r="P38" s="49">
        <f t="shared" si="6"/>
        <v>100</v>
      </c>
      <c r="Q38" s="49">
        <f t="shared" si="6"/>
        <v>100</v>
      </c>
      <c r="R38" s="73">
        <f>-XIRR_Examples_BA!Q38</f>
        <v>1500</v>
      </c>
      <c r="T38" s="11" t="e">
        <f t="shared" si="3"/>
        <v>#NUM!</v>
      </c>
      <c r="U38" s="80">
        <f t="shared" si="1"/>
        <v>1.0000001200000082E+96</v>
      </c>
      <c r="V38" s="82" t="e">
        <f>IF(XIRR_Examples_BA!S38="","",XIRR_Examples_BA!S38)</f>
        <v>#NUM!</v>
      </c>
      <c r="W38" s="82" t="e">
        <f>IF(XIRR_Examples_BA!T38="","",XIRR_Examples_BA!T38)</f>
        <v>#DIV/0!</v>
      </c>
      <c r="X38" s="82">
        <f>IF(XIRR_Examples_BA!U38="","",XIRR_Examples_BA!U38)</f>
      </c>
    </row>
    <row r="39" spans="5:24" ht="11.25">
      <c r="E39" s="63">
        <v>25</v>
      </c>
      <c r="F39" s="49">
        <f t="shared" si="6"/>
        <v>-1E-06</v>
      </c>
      <c r="G39" s="49">
        <f t="shared" si="6"/>
        <v>100</v>
      </c>
      <c r="H39" s="49">
        <f t="shared" si="6"/>
        <v>100</v>
      </c>
      <c r="I39" s="49">
        <f t="shared" si="6"/>
        <v>100</v>
      </c>
      <c r="J39" s="49">
        <f t="shared" si="6"/>
        <v>100</v>
      </c>
      <c r="K39" s="49">
        <f t="shared" si="6"/>
        <v>100</v>
      </c>
      <c r="L39" s="49">
        <f t="shared" si="6"/>
        <v>100</v>
      </c>
      <c r="M39" s="49">
        <f t="shared" si="6"/>
        <v>100</v>
      </c>
      <c r="N39" s="49">
        <f t="shared" si="6"/>
        <v>100</v>
      </c>
      <c r="O39" s="49">
        <f t="shared" si="6"/>
        <v>100</v>
      </c>
      <c r="P39" s="49">
        <f t="shared" si="6"/>
        <v>100</v>
      </c>
      <c r="Q39" s="49">
        <f t="shared" si="6"/>
        <v>100</v>
      </c>
      <c r="R39" s="73">
        <f>-XIRR_Examples_BA!Q39</f>
        <v>1600</v>
      </c>
      <c r="T39" s="11" t="e">
        <f t="shared" si="3"/>
        <v>#NUM!</v>
      </c>
      <c r="U39" s="80">
        <f t="shared" si="1"/>
        <v>1.000000120000006E+96</v>
      </c>
      <c r="V39" s="82" t="e">
        <f>IF(XIRR_Examples_BA!S39="","",XIRR_Examples_BA!S39)</f>
        <v>#NUM!</v>
      </c>
      <c r="W39" s="82" t="e">
        <f>IF(XIRR_Examples_BA!T39="","",XIRR_Examples_BA!T39)</f>
        <v>#DIV/0!</v>
      </c>
      <c r="X39" s="82">
        <f>IF(XIRR_Examples_BA!U39="","",XIRR_Examples_BA!U39)</f>
      </c>
    </row>
  </sheetData>
  <sheetProtection/>
  <mergeCells count="2">
    <mergeCell ref="B3:E3"/>
    <mergeCell ref="V13:X13"/>
  </mergeCells>
  <hyperlinks>
    <hyperlink ref="B3" location="HL_Home" tooltip="Go to Table of Contents" display="HL_Home"/>
    <hyperlink ref="A4" location="$B$5" tooltip="Go to Top of Sheet" display="$B$5"/>
    <hyperlink ref="B4" location="'XIRR_Examples_BA'!A1" tooltip="Go to Previous Sheet" display="'XIRR_Examples_BA'!A1"/>
  </hyperlinks>
  <printOptions/>
  <pageMargins left="0.393700787401575" right="0.393700787401575" top="0.5905511811023625" bottom="0.9842519685039375" header="0" footer="0.3149606299212597"/>
  <pageSetup horizontalDpi="600" verticalDpi="600" orientation="landscape" paperSize="9" scale="68" r:id="rId2"/>
  <headerFooter>
    <oddFooter>&amp;L&amp;"Arial,Bold"&amp;7&amp;F
&amp;A
Printed: &amp;T on &amp;D&amp;C&amp;"Arial,Bold"&amp;10Page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20"/>
  <sheetViews>
    <sheetView showGridLine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outlineLevelRow="1"/>
  <cols>
    <col min="1" max="2" width="3.83203125" style="0" customWidth="1"/>
    <col min="3" max="5" width="10.83203125" style="0" hidden="1" customWidth="1"/>
    <col min="6" max="6" width="2.66015625" style="0" customWidth="1"/>
    <col min="7" max="7" width="10.83203125" style="0" hidden="1" customWidth="1"/>
    <col min="8" max="16" width="10.83203125" style="0" customWidth="1"/>
    <col min="17" max="17" width="9.33203125" style="0" customWidth="1"/>
  </cols>
  <sheetData>
    <row r="1" spans="1:2" ht="18">
      <c r="A1" s="6" t="s">
        <v>8</v>
      </c>
      <c r="B1" s="8" t="s">
        <v>4</v>
      </c>
    </row>
    <row r="2" ht="15.75">
      <c r="B2" s="5" t="str">
        <f>Model_Name</f>
        <v>Internal Rates of Return Examples</v>
      </c>
    </row>
    <row r="3" spans="2:9" ht="11.25">
      <c r="B3" s="102" t="s">
        <v>5</v>
      </c>
      <c r="C3" s="102"/>
      <c r="D3" s="102"/>
      <c r="E3" s="102"/>
      <c r="F3" s="102"/>
      <c r="G3" s="102"/>
      <c r="H3" s="102"/>
      <c r="I3" s="102"/>
    </row>
    <row r="6" spans="1:17" s="22" customFormat="1" ht="12.75">
      <c r="A6" s="21" t="s">
        <v>6</v>
      </c>
      <c r="B6" s="23" t="s">
        <v>7</v>
      </c>
      <c r="C6" s="20"/>
      <c r="D6" s="20"/>
      <c r="E6" s="20"/>
      <c r="F6" s="20"/>
      <c r="G6" s="20"/>
      <c r="H6" s="20"/>
      <c r="I6" s="20"/>
      <c r="J6" s="20"/>
      <c r="K6" s="20"/>
      <c r="L6" s="20"/>
      <c r="M6" s="20"/>
      <c r="N6" s="20"/>
      <c r="O6" s="20"/>
      <c r="P6" s="20"/>
      <c r="Q6" s="24" t="s">
        <v>14</v>
      </c>
    </row>
    <row r="7" ht="11.25">
      <c r="B7" s="7"/>
    </row>
    <row r="8" spans="2:17" ht="18.75" customHeight="1">
      <c r="B8" s="105">
        <v>1</v>
      </c>
      <c r="C8" s="105"/>
      <c r="D8" s="106" t="str">
        <f>IRR_Examples_SC!C9</f>
        <v>IRR Examples</v>
      </c>
      <c r="E8" s="106"/>
      <c r="F8" s="106"/>
      <c r="G8" s="106"/>
      <c r="H8" s="106"/>
      <c r="I8" s="106"/>
      <c r="J8" s="106"/>
      <c r="K8" s="106"/>
      <c r="L8" s="106"/>
      <c r="M8" s="106"/>
      <c r="N8" s="106"/>
      <c r="O8" s="106"/>
      <c r="P8" s="106"/>
      <c r="Q8" s="29">
        <v>3</v>
      </c>
    </row>
    <row r="9" spans="6:17" s="30" customFormat="1" ht="11.25" outlineLevel="1">
      <c r="F9" s="104" t="s">
        <v>21</v>
      </c>
      <c r="G9" s="104"/>
      <c r="H9" s="103" t="str">
        <f>IRR_BA!B1</f>
        <v>IRR</v>
      </c>
      <c r="I9" s="103"/>
      <c r="J9" s="103"/>
      <c r="K9" s="103"/>
      <c r="L9" s="103"/>
      <c r="M9" s="103"/>
      <c r="N9" s="103"/>
      <c r="O9" s="103"/>
      <c r="P9" s="103"/>
      <c r="Q9" s="31">
        <v>4</v>
      </c>
    </row>
    <row r="10" spans="6:17" s="30" customFormat="1" ht="11.25" outlineLevel="1">
      <c r="F10" s="104" t="s">
        <v>22</v>
      </c>
      <c r="G10" s="104"/>
      <c r="H10" s="103" t="str">
        <f>XIRR_BA!B1</f>
        <v>XIRR</v>
      </c>
      <c r="I10" s="103"/>
      <c r="J10" s="103"/>
      <c r="K10" s="103"/>
      <c r="L10" s="103"/>
      <c r="M10" s="103"/>
      <c r="N10" s="103"/>
      <c r="O10" s="103"/>
      <c r="P10" s="103"/>
      <c r="Q10" s="31">
        <v>5</v>
      </c>
    </row>
    <row r="11" spans="6:17" s="30" customFormat="1" ht="11.25" outlineLevel="1">
      <c r="F11" s="104" t="s">
        <v>62</v>
      </c>
      <c r="G11" s="104"/>
      <c r="H11" s="103" t="str">
        <f>'IRR_vs._XIRR_BA'!B1</f>
        <v>IRR vs. XIRR</v>
      </c>
      <c r="I11" s="103"/>
      <c r="J11" s="103"/>
      <c r="K11" s="103"/>
      <c r="L11" s="103"/>
      <c r="M11" s="103"/>
      <c r="N11" s="103"/>
      <c r="O11" s="103"/>
      <c r="P11" s="103"/>
      <c r="Q11" s="31">
        <v>6</v>
      </c>
    </row>
    <row r="12" spans="6:17" s="30" customFormat="1" ht="11.25" outlineLevel="1">
      <c r="F12" s="104" t="s">
        <v>63</v>
      </c>
      <c r="G12" s="104"/>
      <c r="H12" s="103" t="str">
        <f>Care_With_Dates_BA!B1</f>
        <v>Care with dates</v>
      </c>
      <c r="I12" s="103"/>
      <c r="J12" s="103"/>
      <c r="K12" s="103"/>
      <c r="L12" s="103"/>
      <c r="M12" s="103"/>
      <c r="N12" s="103"/>
      <c r="O12" s="103"/>
      <c r="P12" s="103"/>
      <c r="Q12" s="31">
        <v>7</v>
      </c>
    </row>
    <row r="13" spans="6:17" s="30" customFormat="1" ht="11.25" outlineLevel="1">
      <c r="F13" s="104" t="s">
        <v>64</v>
      </c>
      <c r="G13" s="104"/>
      <c r="H13" s="103" t="str">
        <f>Value_Not_Right_BA!B1</f>
        <v>Having a value doesn't make it right</v>
      </c>
      <c r="I13" s="103"/>
      <c r="J13" s="103"/>
      <c r="K13" s="103"/>
      <c r="L13" s="103"/>
      <c r="M13" s="103"/>
      <c r="N13" s="103"/>
      <c r="O13" s="103"/>
      <c r="P13" s="103"/>
      <c r="Q13" s="31">
        <v>8</v>
      </c>
    </row>
    <row r="14" spans="6:17" s="30" customFormat="1" ht="11.25" outlineLevel="1">
      <c r="F14" s="104" t="s">
        <v>83</v>
      </c>
      <c r="G14" s="104"/>
      <c r="H14" s="103" t="str">
        <f>Positive_Numbers_BA!B1</f>
        <v>Cashflows starting with a positive inflow</v>
      </c>
      <c r="I14" s="103"/>
      <c r="J14" s="103"/>
      <c r="K14" s="103"/>
      <c r="L14" s="103"/>
      <c r="M14" s="103"/>
      <c r="N14" s="103"/>
      <c r="O14" s="103"/>
      <c r="P14" s="103"/>
      <c r="Q14" s="31">
        <v>9</v>
      </c>
    </row>
    <row r="15" spans="6:17" s="30" customFormat="1" ht="11.25" outlineLevel="1">
      <c r="F15" s="104" t="s">
        <v>84</v>
      </c>
      <c r="G15" s="104"/>
      <c r="H15" s="103" t="str">
        <f>Considering_Order_BA!B1</f>
        <v>Order makes a difference</v>
      </c>
      <c r="I15" s="103"/>
      <c r="J15" s="103"/>
      <c r="K15" s="103"/>
      <c r="L15" s="103"/>
      <c r="M15" s="103"/>
      <c r="N15" s="103"/>
      <c r="O15" s="103"/>
      <c r="P15" s="103"/>
      <c r="Q15" s="31">
        <v>10</v>
      </c>
    </row>
    <row r="16" spans="6:17" s="30" customFormat="1" ht="11.25" outlineLevel="1">
      <c r="F16" s="104" t="s">
        <v>118</v>
      </c>
      <c r="G16" s="104"/>
      <c r="H16" s="103" t="str">
        <f>Unreliable_XNPV_Check_BA!B1</f>
        <v>XNPV is not a reliable check</v>
      </c>
      <c r="I16" s="103"/>
      <c r="J16" s="103"/>
      <c r="K16" s="103"/>
      <c r="L16" s="103"/>
      <c r="M16" s="103"/>
      <c r="N16" s="103"/>
      <c r="O16" s="103"/>
      <c r="P16" s="103"/>
      <c r="Q16" s="31">
        <v>11</v>
      </c>
    </row>
    <row r="17" spans="6:17" s="30" customFormat="1" ht="11.25" outlineLevel="1">
      <c r="F17" s="104" t="s">
        <v>119</v>
      </c>
      <c r="G17" s="104"/>
      <c r="H17" s="103" t="str">
        <f>XIRR_Examples_BA!B1</f>
        <v>XIRR Examples</v>
      </c>
      <c r="I17" s="103"/>
      <c r="J17" s="103"/>
      <c r="K17" s="103"/>
      <c r="L17" s="103"/>
      <c r="M17" s="103"/>
      <c r="N17" s="103"/>
      <c r="O17" s="103"/>
      <c r="P17" s="103"/>
      <c r="Q17" s="31">
        <v>12</v>
      </c>
    </row>
    <row r="18" spans="6:17" s="30" customFormat="1" ht="11.25" outlineLevel="1">
      <c r="F18" s="104" t="s">
        <v>132</v>
      </c>
      <c r="G18" s="104"/>
      <c r="H18" s="103" t="str">
        <f>'XIRR_Examples_Neg Start_BA'!B1</f>
        <v>XIRR Examples with a negative first number</v>
      </c>
      <c r="I18" s="103"/>
      <c r="J18" s="103"/>
      <c r="K18" s="103"/>
      <c r="L18" s="103"/>
      <c r="M18" s="103"/>
      <c r="N18" s="103"/>
      <c r="O18" s="103"/>
      <c r="P18" s="103"/>
      <c r="Q18" s="31">
        <v>13</v>
      </c>
    </row>
    <row r="20" spans="2:17" ht="12">
      <c r="B20" s="25" t="s">
        <v>15</v>
      </c>
      <c r="Q20" s="84">
        <v>13</v>
      </c>
    </row>
  </sheetData>
  <sheetProtection/>
  <mergeCells count="23">
    <mergeCell ref="F17:G17"/>
    <mergeCell ref="H17:P17"/>
    <mergeCell ref="F18:G18"/>
    <mergeCell ref="H18:P18"/>
    <mergeCell ref="F14:G14"/>
    <mergeCell ref="H14:P14"/>
    <mergeCell ref="F15:G15"/>
    <mergeCell ref="H15:P15"/>
    <mergeCell ref="B3:I3"/>
    <mergeCell ref="F16:G16"/>
    <mergeCell ref="H16:P16"/>
    <mergeCell ref="F13:G13"/>
    <mergeCell ref="H13:P13"/>
    <mergeCell ref="F10:G10"/>
    <mergeCell ref="H10:P10"/>
    <mergeCell ref="F11:G11"/>
    <mergeCell ref="H11:P11"/>
    <mergeCell ref="F12:G12"/>
    <mergeCell ref="H12:P12"/>
    <mergeCell ref="B8:C8"/>
    <mergeCell ref="D8:P8"/>
    <mergeCell ref="F9:G9"/>
    <mergeCell ref="H9:P9"/>
  </mergeCells>
  <hyperlinks>
    <hyperlink ref="B8" location="'IRR_Examples_SC'!A1" tooltip="Go to IRR Examples" display="'IRR_Examples_SC'!A1"/>
    <hyperlink ref="D8" location="'IRR_Examples_SC'!A1" tooltip="Go to IRR Examples" display="'IRR_Examples_SC'!A1"/>
    <hyperlink ref="F9" location="'IRR_BA'!A1" tooltip="Go to IRR" display="'IRR_BA'!A1"/>
    <hyperlink ref="H9" location="'IRR_BA'!A1" tooltip="Go to IRR" display="'IRR_BA'!A1"/>
    <hyperlink ref="F10" location="'XIRR_BA'!A1" tooltip="Go to XIRR" display="'XIRR_BA'!A1"/>
    <hyperlink ref="H10" location="'XIRR_BA'!A1" tooltip="Go to XIRR" display="'XIRR_BA'!A1"/>
    <hyperlink ref="F11" location="'IRR_vs._XIRR_BA'!A1" tooltip="Go to IRR vs. XIRR" display="'IRR_vs._XIRR_BA'!A1"/>
    <hyperlink ref="H11" location="'IRR_vs._XIRR_BA'!A1" tooltip="Go to IRR vs. XIRR" display="'IRR_vs._XIRR_BA'!A1"/>
    <hyperlink ref="F12" location="'Care_With_Dates_BA'!A1" tooltip="Go to Care with dates" display="'Care_With_Dates_BA'!A1"/>
    <hyperlink ref="H12" location="'Care_With_Dates_BA'!A1" tooltip="Go to Care with dates" display="'Care_With_Dates_BA'!A1"/>
    <hyperlink ref="F13" location="'Value_Not_Right_BA'!A1" tooltip="Go to Having a value doesn't make it right" display="'Value_Not_Right_BA'!A1"/>
    <hyperlink ref="H13" location="'Value_Not_Right_BA'!A1" tooltip="Go to Having a value doesn't make it right" display="'Value_Not_Right_BA'!A1"/>
    <hyperlink ref="F14" location="'Positive_Numbers_BA'!A1" tooltip="Go to Cashflows starting with a positive inflow" display="'Positive_Numbers_BA'!A1"/>
    <hyperlink ref="H14" location="'Positive_Numbers_BA'!A1" tooltip="Go to Cashflows starting with a positive inflow" display="'Positive_Numbers_BA'!A1"/>
    <hyperlink ref="F15" location="'Considering_Order_BA'!A1" tooltip="Go to Order makes a difference" display="'Considering_Order_BA'!A1"/>
    <hyperlink ref="H15" location="'Considering_Order_BA'!A1" tooltip="Go to Order makes a difference" display="'Considering_Order_BA'!A1"/>
    <hyperlink ref="F16" location="'Unreliable_XNPV_Check_BA'!A1" tooltip="Go to XNPV is not a reliable check" display="'Unreliable_XNPV_Check_BA'!A1"/>
    <hyperlink ref="H16" location="'Unreliable_XNPV_Check_BA'!A1" tooltip="Go to XNPV is not a reliable check" display="'Unreliable_XNPV_Check_BA'!A1"/>
    <hyperlink ref="F17" location="'XIRR_Examples_BA'!A1" tooltip="Go to XIRR Examples" display="'XIRR_Examples_BA'!A1"/>
    <hyperlink ref="H17" location="'XIRR_Examples_BA'!A1" tooltip="Go to XIRR Examples" display="'XIRR_Examples_BA'!A1"/>
    <hyperlink ref="F18" location="'XIRR_Examples_Neg Start_BA'!A1" tooltip="Go to XIRR Examples with a negative first number" display="'XIRR_Examples_Neg Start_BA'!A1"/>
    <hyperlink ref="H18" location="'XIRR_Examples_Neg Start_BA'!A1" tooltip="Go to XIRR Examples with a negative first number" display="'XIRR_Examples_Neg Start_BA'!A1"/>
    <hyperlink ref="Q8" location="'IRR_Examples_SC'!A1" tooltip="Go to IRR Examples" display="'IRR_Examples_SC'!A1"/>
    <hyperlink ref="Q9" location="'IRR_BA'!A1" tooltip="Go to IRR" display="'IRR_BA'!A1"/>
    <hyperlink ref="Q10" location="'XIRR_BA'!A1" tooltip="Go to XIRR" display="'XIRR_BA'!A1"/>
    <hyperlink ref="Q11" location="'IRR_vs._XIRR_BA'!A1" tooltip="Go to IRR vs. XIRR" display="'IRR_vs._XIRR_BA'!A1"/>
    <hyperlink ref="Q12" location="'Care_With_Dates_BA'!A1" tooltip="Go to Care with dates" display="'Care_With_Dates_BA'!A1"/>
    <hyperlink ref="Q13" location="'Value_Not_Right_BA'!A1" tooltip="Go to Having a value doesn't make it right" display="'Value_Not_Right_BA'!A1"/>
    <hyperlink ref="Q14" location="'Positive_Numbers_BA'!A1" tooltip="Go to Cashflows starting with a positive inflow" display="'Positive_Numbers_BA'!A1"/>
    <hyperlink ref="Q15" location="'Considering_Order_BA'!A1" tooltip="Go to Order makes a difference" display="'Considering_Order_BA'!A1"/>
    <hyperlink ref="Q16" location="'Unreliable_XNPV_Check_BA'!A1" tooltip="Go to XNPV is not a reliable check" display="'Unreliable_XNPV_Check_BA'!A1"/>
    <hyperlink ref="Q17" location="'XIRR_Examples_BA'!A1" tooltip="Go to XIRR Examples" display="'XIRR_Examples_BA'!A1"/>
    <hyperlink ref="Q18" location="'XIRR_Examples_Neg Start_BA'!A1" tooltip="Go to XIRR Examples with a negative first number" display="'XIRR_Examples_Neg Start_BA'!A1"/>
    <hyperlink ref="A6" location="$B$7" tooltip="Go to Top of Sheet" display="$B$7"/>
    <hyperlink ref="B3" location="'GC'!A1" tooltip="Go to Cover Sheet" display="'GC'!A1"/>
  </hyperlinks>
  <printOptions/>
  <pageMargins left="0.393700787401575" right="0.393700787401575" top="0.5905511811023625" bottom="0.9842519685039375" header="0" footer="0.3149606299212597"/>
  <pageSetup fitToHeight="1" fitToWidth="1" horizontalDpi="200" verticalDpi="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6" t="s">
        <v>12</v>
      </c>
    </row>
    <row r="9" ht="18">
      <c r="C9" s="2" t="s">
        <v>25</v>
      </c>
    </row>
    <row r="10" ht="16.5">
      <c r="C10" s="19" t="s">
        <v>13</v>
      </c>
    </row>
    <row r="11" ht="15.75">
      <c r="C11" s="5" t="str">
        <f>Model_Name</f>
        <v>Internal Rates of Return Examples</v>
      </c>
    </row>
    <row r="12" spans="3:6" ht="11.25">
      <c r="C12" s="102" t="s">
        <v>3</v>
      </c>
      <c r="D12" s="102"/>
      <c r="E12" s="102"/>
      <c r="F12" s="102"/>
    </row>
    <row r="13" spans="3:4" ht="12.75">
      <c r="C13" s="9" t="s">
        <v>9</v>
      </c>
      <c r="D13" s="10" t="s">
        <v>10</v>
      </c>
    </row>
    <row r="17" ht="11.25">
      <c r="C17" s="3" t="s">
        <v>11</v>
      </c>
    </row>
    <row r="18" ht="11.25">
      <c r="C18" s="4" t="s">
        <v>135</v>
      </c>
    </row>
    <row r="19" ht="11.25">
      <c r="C19" s="4"/>
    </row>
    <row r="20" ht="11.25">
      <c r="C20" s="4"/>
    </row>
  </sheetData>
  <sheetProtection/>
  <mergeCells count="1">
    <mergeCell ref="C12:F12"/>
  </mergeCells>
  <hyperlinks>
    <hyperlink ref="C12" location="HL_Home" tooltip="Go to Table of Contents" display="HL_Home"/>
    <hyperlink ref="C13" location="'Contents'!A1" tooltip="Go to Previous Sheet" display="'Contents'!A1"/>
    <hyperlink ref="D13" location="'IRR_BA'!A1" tooltip="Go to Next Sheet" display="'IRR_BA'!A1"/>
  </hyperlinks>
  <printOptions/>
  <pageMargins left="0.393700787401575" right="0.393700787401575" top="0.5905511811023625" bottom="0.9842519685039375" header="0" footer="0.3149606299212597"/>
  <pageSetup fitToHeight="1" fitToWidth="1" horizontalDpi="200" verticalDpi="200" orientation="portrait" paperSize="9" scale="81" r:id="rId1"/>
</worksheet>
</file>

<file path=xl/worksheets/sheet4.xml><?xml version="1.0" encoding="utf-8"?>
<worksheet xmlns="http://schemas.openxmlformats.org/spreadsheetml/2006/main" xmlns:r="http://schemas.openxmlformats.org/officeDocument/2006/relationships">
  <dimension ref="A1:F34"/>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cols>
    <col min="1" max="5" width="3.83203125" style="11" customWidth="1"/>
    <col min="6" max="6" width="105.33203125" style="11" customWidth="1"/>
    <col min="7" max="16384" width="10.83203125" style="11" customWidth="1"/>
  </cols>
  <sheetData>
    <row r="1" spans="1:2" ht="18">
      <c r="A1" s="83" t="s">
        <v>20</v>
      </c>
      <c r="B1" s="13" t="s">
        <v>27</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IRR</v>
      </c>
    </row>
    <row r="9" ht="12">
      <c r="C9" s="36" t="s">
        <v>105</v>
      </c>
    </row>
    <row r="11" ht="12.75">
      <c r="F11" s="26" t="str">
        <f>B1</f>
        <v>IRR</v>
      </c>
    </row>
    <row r="12" ht="63.75">
      <c r="F12" s="90" t="s">
        <v>106</v>
      </c>
    </row>
    <row r="13" ht="11.25">
      <c r="F13" s="87"/>
    </row>
    <row r="14" ht="12.75">
      <c r="F14" s="91" t="s">
        <v>87</v>
      </c>
    </row>
    <row r="15" ht="11.25">
      <c r="F15" s="87"/>
    </row>
    <row r="16" ht="12.75">
      <c r="F16" s="91" t="s">
        <v>107</v>
      </c>
    </row>
    <row r="17" ht="11.25">
      <c r="F17" s="87"/>
    </row>
    <row r="18" ht="25.5">
      <c r="F18" s="91" t="s">
        <v>108</v>
      </c>
    </row>
    <row r="19" ht="11.25">
      <c r="F19" s="92"/>
    </row>
    <row r="20" ht="25.5">
      <c r="F20" s="93" t="s">
        <v>109</v>
      </c>
    </row>
    <row r="21" ht="25.5">
      <c r="F21" s="93" t="s">
        <v>110</v>
      </c>
    </row>
    <row r="22" ht="25.5">
      <c r="F22" s="93" t="s">
        <v>111</v>
      </c>
    </row>
    <row r="23" ht="11.25">
      <c r="F23" s="87"/>
    </row>
    <row r="24" ht="12.75">
      <c r="F24" s="91" t="s">
        <v>116</v>
      </c>
    </row>
    <row r="25" ht="11.25">
      <c r="F25" s="92"/>
    </row>
    <row r="26" ht="38.25">
      <c r="F26" s="93" t="s">
        <v>112</v>
      </c>
    </row>
    <row r="27" ht="25.5">
      <c r="F27" s="93" t="s">
        <v>113</v>
      </c>
    </row>
    <row r="28" ht="25.5">
      <c r="F28" s="93" t="s">
        <v>114</v>
      </c>
    </row>
    <row r="29" ht="11.25">
      <c r="F29" s="87"/>
    </row>
    <row r="30" ht="12.75">
      <c r="F30" s="91" t="s">
        <v>90</v>
      </c>
    </row>
    <row r="31" ht="11.25">
      <c r="F31" s="87"/>
    </row>
    <row r="32" ht="38.25">
      <c r="F32" s="90" t="s">
        <v>115</v>
      </c>
    </row>
    <row r="33" ht="11.25">
      <c r="F33" s="87"/>
    </row>
    <row r="34" ht="26.25">
      <c r="F34" s="94" t="s">
        <v>117</v>
      </c>
    </row>
  </sheetData>
  <sheetProtection/>
  <mergeCells count="1">
    <mergeCell ref="B3:F3"/>
  </mergeCells>
  <hyperlinks>
    <hyperlink ref="B3" location="HL_Home" tooltip="Go to Table of Contents" display="HL_Home"/>
    <hyperlink ref="A4" location="$B$5" tooltip="Go to Top of Sheet" display="$B$5"/>
    <hyperlink ref="B4" location="'IRR_Examples_SC'!A1" tooltip="Go to Previous Sheet" display="'IRR_Examples_SC'!A1"/>
    <hyperlink ref="C4" location="'XIRR_BA'!A1" tooltip="Go to Next Sheet" display="'XIRR_BA'!A1"/>
  </hyperlinks>
  <printOptions/>
  <pageMargins left="0.393700787401575" right="0.393700787401575" top="0.5905511811023625" bottom="0.9842519685039375" header="0" footer="0.3149606299212597"/>
  <pageSetup horizontalDpi="600" verticalDpi="600" orientation="landscape" paperSize="9" scale="82" r:id="rId1"/>
  <headerFooter>
    <oddFooter>&amp;L&amp;"Arial,Bold"&amp;7&amp;F
&amp;A
Printed: &amp;T on &amp;D&amp;C&amp;"Arial,Bold"&amp;10Page &amp;P of &amp;N</oddFooter>
  </headerFooter>
</worksheet>
</file>

<file path=xl/worksheets/sheet5.xml><?xml version="1.0" encoding="utf-8"?>
<worksheet xmlns="http://schemas.openxmlformats.org/spreadsheetml/2006/main" xmlns:r="http://schemas.openxmlformats.org/officeDocument/2006/relationships">
  <dimension ref="A1:F40"/>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cols>
    <col min="1" max="5" width="3.83203125" style="11" customWidth="1"/>
    <col min="6" max="6" width="105.33203125" style="11" customWidth="1"/>
    <col min="7" max="16384" width="10.83203125" style="11" customWidth="1"/>
  </cols>
  <sheetData>
    <row r="1" spans="1:2" ht="18">
      <c r="A1" s="83" t="s">
        <v>20</v>
      </c>
      <c r="B1" s="13" t="s">
        <v>26</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XIRR</v>
      </c>
    </row>
    <row r="9" ht="12">
      <c r="C9" s="36" t="s">
        <v>105</v>
      </c>
    </row>
    <row r="11" ht="12.75">
      <c r="F11" s="26" t="str">
        <f>B1</f>
        <v>XIRR</v>
      </c>
    </row>
    <row r="12" ht="25.5">
      <c r="F12" s="86" t="s">
        <v>86</v>
      </c>
    </row>
    <row r="13" ht="11.25">
      <c r="F13" s="87"/>
    </row>
    <row r="14" ht="12.75">
      <c r="F14" s="88" t="s">
        <v>87</v>
      </c>
    </row>
    <row r="15" ht="11.25">
      <c r="F15" s="87"/>
    </row>
    <row r="16" ht="12.75">
      <c r="F16" s="88" t="s">
        <v>88</v>
      </c>
    </row>
    <row r="17" ht="11.25">
      <c r="F17" s="87"/>
    </row>
    <row r="18" ht="63.75">
      <c r="F18" s="88" t="s">
        <v>89</v>
      </c>
    </row>
    <row r="19" ht="11.25">
      <c r="F19" s="87"/>
    </row>
    <row r="20" ht="51">
      <c r="F20" s="88" t="s">
        <v>103</v>
      </c>
    </row>
    <row r="21" ht="11.25">
      <c r="F21" s="87"/>
    </row>
    <row r="22" ht="12.75">
      <c r="F22" s="88" t="s">
        <v>104</v>
      </c>
    </row>
    <row r="23" ht="11.25">
      <c r="F23" s="87"/>
    </row>
    <row r="24" ht="12.75">
      <c r="F24" s="88" t="s">
        <v>90</v>
      </c>
    </row>
    <row r="25" ht="12.75">
      <c r="F25" s="89" t="s">
        <v>91</v>
      </c>
    </row>
    <row r="26" ht="25.5">
      <c r="F26" s="89" t="s">
        <v>92</v>
      </c>
    </row>
    <row r="27" ht="12.75">
      <c r="F27" s="89" t="s">
        <v>93</v>
      </c>
    </row>
    <row r="28" ht="12.75">
      <c r="F28" s="89" t="s">
        <v>94</v>
      </c>
    </row>
    <row r="29" ht="12.75">
      <c r="F29" s="89" t="s">
        <v>95</v>
      </c>
    </row>
    <row r="30" ht="25.5">
      <c r="F30" s="89" t="s">
        <v>96</v>
      </c>
    </row>
    <row r="31" ht="25.5">
      <c r="F31" s="89" t="s">
        <v>97</v>
      </c>
    </row>
    <row r="32" ht="38.25">
      <c r="F32" s="89" t="s">
        <v>98</v>
      </c>
    </row>
    <row r="33" ht="12.75">
      <c r="F33" s="85"/>
    </row>
    <row r="34" ht="12.75">
      <c r="F34" s="85"/>
    </row>
    <row r="35" ht="12.75">
      <c r="F35" s="85"/>
    </row>
    <row r="36" ht="12.75">
      <c r="F36" s="85"/>
    </row>
    <row r="37" ht="12.75">
      <c r="F37" s="85" t="s">
        <v>99</v>
      </c>
    </row>
    <row r="38" ht="15.75">
      <c r="F38" s="85" t="s">
        <v>100</v>
      </c>
    </row>
    <row r="39" ht="14.25">
      <c r="F39" s="85" t="s">
        <v>101</v>
      </c>
    </row>
    <row r="40" ht="14.25">
      <c r="F40" s="85" t="s">
        <v>102</v>
      </c>
    </row>
  </sheetData>
  <sheetProtection/>
  <mergeCells count="1">
    <mergeCell ref="B3:F3"/>
  </mergeCells>
  <hyperlinks>
    <hyperlink ref="B3" location="HL_Home" tooltip="Go to Table of Contents" display="HL_Home"/>
    <hyperlink ref="A4" location="$B$5" tooltip="Go to Top of Sheet" display="$B$5"/>
    <hyperlink ref="B4" location="'IRR_BA'!A1" tooltip="Go to Previous Sheet" display="'IRR_BA'!A1"/>
    <hyperlink ref="C4" location="'IRR_vs._XIRR_BA'!A1" tooltip="Go to Next Sheet" display="'IRR_vs._XIRR_BA'!A1"/>
  </hyperlinks>
  <printOptions/>
  <pageMargins left="0.393700787401575" right="0.393700787401575" top="0.5905511811023625" bottom="0.9842519685039375" header="0" footer="0.3149606299212597"/>
  <pageSetup horizontalDpi="600" verticalDpi="600" orientation="landscape" paperSize="9" scale="77" r:id="rId2"/>
  <headerFooter>
    <oddFooter>&amp;L&amp;"Arial,Bold"&amp;7&amp;F
&amp;A
Printed: &amp;T on &amp;D&amp;C&amp;"Arial,Bold"&amp;10Page &amp;P of &amp;N</oddFooter>
  </headerFooter>
  <drawing r:id="rId1"/>
</worksheet>
</file>

<file path=xl/worksheets/sheet6.xml><?xml version="1.0" encoding="utf-8"?>
<worksheet xmlns="http://schemas.openxmlformats.org/spreadsheetml/2006/main" xmlns:r="http://schemas.openxmlformats.org/officeDocument/2006/relationships">
  <dimension ref="A1:O21"/>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cols>
    <col min="1" max="5" width="3.83203125" style="11" customWidth="1"/>
    <col min="6" max="7" width="10.83203125" style="11" customWidth="1"/>
    <col min="8" max="15" width="12.33203125" style="11" customWidth="1"/>
    <col min="16" max="16384" width="10.83203125" style="11" customWidth="1"/>
  </cols>
  <sheetData>
    <row r="1" spans="1:2" ht="18">
      <c r="A1" s="83" t="s">
        <v>20</v>
      </c>
      <c r="B1" s="13" t="s">
        <v>121</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IRR vs. XIRR</v>
      </c>
    </row>
    <row r="9" ht="12">
      <c r="C9" s="36" t="s">
        <v>122</v>
      </c>
    </row>
    <row r="10" spans="8:15" ht="12" thickBot="1">
      <c r="H10" s="96" t="s">
        <v>123</v>
      </c>
      <c r="I10" s="96" t="s">
        <v>124</v>
      </c>
      <c r="J10" s="96" t="s">
        <v>125</v>
      </c>
      <c r="K10" s="96" t="s">
        <v>126</v>
      </c>
      <c r="L10" s="96" t="s">
        <v>127</v>
      </c>
      <c r="M10" s="96" t="s">
        <v>128</v>
      </c>
      <c r="N10" s="96" t="s">
        <v>129</v>
      </c>
      <c r="O10" s="96" t="s">
        <v>130</v>
      </c>
    </row>
    <row r="11" spans="6:15" ht="12" thickBot="1">
      <c r="F11" s="59" t="s">
        <v>27</v>
      </c>
      <c r="G11" s="97">
        <f>IRR(H11:O11)</f>
        <v>0.016391222365073323</v>
      </c>
      <c r="H11" s="98">
        <v>-50000</v>
      </c>
      <c r="I11" s="98">
        <v>18750</v>
      </c>
      <c r="J11" s="98">
        <v>12412</v>
      </c>
      <c r="K11" s="98">
        <v>57.16</v>
      </c>
      <c r="L11" s="98">
        <v>1655.22</v>
      </c>
      <c r="M11" s="98">
        <v>19450.66</v>
      </c>
      <c r="N11" s="98"/>
      <c r="O11" s="98"/>
    </row>
    <row r="12" spans="6:15" ht="12" thickBot="1">
      <c r="F12" s="95" t="str">
        <f>F11</f>
        <v>IRR</v>
      </c>
      <c r="G12" s="97">
        <f>IRR(H12:O12)</f>
        <v>0.016391222365073323</v>
      </c>
      <c r="H12" s="98"/>
      <c r="I12" s="98">
        <v>-50000</v>
      </c>
      <c r="J12" s="98">
        <v>18750</v>
      </c>
      <c r="K12" s="98">
        <v>12412</v>
      </c>
      <c r="L12" s="98">
        <v>57.16</v>
      </c>
      <c r="M12" s="98">
        <v>1655.22</v>
      </c>
      <c r="N12" s="98">
        <v>19450.66</v>
      </c>
      <c r="O12" s="98"/>
    </row>
    <row r="13" spans="6:15" ht="12" thickBot="1">
      <c r="F13" s="95" t="str">
        <f>F12</f>
        <v>IRR</v>
      </c>
      <c r="G13" s="97">
        <f>IRR(H13:O13)</f>
        <v>0.016391222365073323</v>
      </c>
      <c r="H13" s="98">
        <v>-50000</v>
      </c>
      <c r="I13" s="98"/>
      <c r="J13" s="98"/>
      <c r="K13" s="98">
        <v>18750</v>
      </c>
      <c r="L13" s="98">
        <v>12412</v>
      </c>
      <c r="M13" s="98">
        <v>57.16</v>
      </c>
      <c r="N13" s="98">
        <v>1655.22</v>
      </c>
      <c r="O13" s="98">
        <v>19450.66</v>
      </c>
    </row>
    <row r="16" ht="11.25">
      <c r="G16" s="11">
        <f>(1+G13)^12-1</f>
        <v>0.21543256871579364</v>
      </c>
    </row>
    <row r="17" ht="12">
      <c r="C17" s="36" t="s">
        <v>131</v>
      </c>
    </row>
    <row r="18" spans="8:15" ht="11.25">
      <c r="H18" s="99">
        <f ca="1">TODAY()</f>
        <v>40758</v>
      </c>
      <c r="I18" s="100">
        <f>H18+77</f>
        <v>40835</v>
      </c>
      <c r="J18" s="100">
        <f>I18+159</f>
        <v>40994</v>
      </c>
      <c r="K18" s="100">
        <f>J18+365</f>
        <v>41359</v>
      </c>
      <c r="L18" s="100">
        <f>K18+55</f>
        <v>41414</v>
      </c>
      <c r="M18" s="100">
        <f>L18+731</f>
        <v>42145</v>
      </c>
      <c r="N18" s="100">
        <f>M18+181</f>
        <v>42326</v>
      </c>
      <c r="O18" s="100">
        <f>N18+731</f>
        <v>43057</v>
      </c>
    </row>
    <row r="19" spans="6:15" ht="11.25">
      <c r="F19" s="59" t="s">
        <v>26</v>
      </c>
      <c r="G19" s="97">
        <f>XIRR($H19:$O19,$H$18:$O$18)</f>
        <v>0.027698245644569394</v>
      </c>
      <c r="H19" s="101">
        <f>H11</f>
        <v>-50000</v>
      </c>
      <c r="I19" s="101">
        <f aca="true" t="shared" si="0" ref="I19:O19">I11</f>
        <v>18750</v>
      </c>
      <c r="J19" s="101">
        <f t="shared" si="0"/>
        <v>12412</v>
      </c>
      <c r="K19" s="101">
        <f t="shared" si="0"/>
        <v>57.16</v>
      </c>
      <c r="L19" s="101">
        <f t="shared" si="0"/>
        <v>1655.22</v>
      </c>
      <c r="M19" s="101">
        <f t="shared" si="0"/>
        <v>19450.66</v>
      </c>
      <c r="N19" s="101">
        <f t="shared" si="0"/>
        <v>0</v>
      </c>
      <c r="O19" s="101">
        <f t="shared" si="0"/>
        <v>0</v>
      </c>
    </row>
    <row r="20" spans="6:15" ht="11.25">
      <c r="F20" s="95" t="str">
        <f>F19</f>
        <v>XIRR</v>
      </c>
      <c r="G20" s="97">
        <f>XIRR($H20:$O20,$H$18:$O$18)</f>
        <v>2.9802322387695314E-09</v>
      </c>
      <c r="H20" s="101">
        <f aca="true" t="shared" si="1" ref="H20:O21">H12</f>
        <v>0</v>
      </c>
      <c r="I20" s="101">
        <f t="shared" si="1"/>
        <v>-50000</v>
      </c>
      <c r="J20" s="101">
        <f t="shared" si="1"/>
        <v>18750</v>
      </c>
      <c r="K20" s="101">
        <f t="shared" si="1"/>
        <v>12412</v>
      </c>
      <c r="L20" s="101">
        <f t="shared" si="1"/>
        <v>57.16</v>
      </c>
      <c r="M20" s="101">
        <f t="shared" si="1"/>
        <v>1655.22</v>
      </c>
      <c r="N20" s="101">
        <f t="shared" si="1"/>
        <v>19450.66</v>
      </c>
      <c r="O20" s="101">
        <f t="shared" si="1"/>
        <v>0</v>
      </c>
    </row>
    <row r="21" spans="6:15" ht="11.25">
      <c r="F21" s="95" t="str">
        <f>F20</f>
        <v>XIRR</v>
      </c>
      <c r="G21" s="97">
        <f>XIRR($H21:$O21,$H$18:$O$18)</f>
        <v>0.01319960653781891</v>
      </c>
      <c r="H21" s="101">
        <f t="shared" si="1"/>
        <v>-50000</v>
      </c>
      <c r="I21" s="101">
        <f t="shared" si="1"/>
        <v>0</v>
      </c>
      <c r="J21" s="101">
        <f t="shared" si="1"/>
        <v>0</v>
      </c>
      <c r="K21" s="101">
        <f t="shared" si="1"/>
        <v>18750</v>
      </c>
      <c r="L21" s="101">
        <f t="shared" si="1"/>
        <v>12412</v>
      </c>
      <c r="M21" s="101">
        <f t="shared" si="1"/>
        <v>57.16</v>
      </c>
      <c r="N21" s="101">
        <f t="shared" si="1"/>
        <v>1655.22</v>
      </c>
      <c r="O21" s="101">
        <f t="shared" si="1"/>
        <v>19450.66</v>
      </c>
    </row>
    <row r="25" ht="11.25"/>
    <row r="26" ht="11.25"/>
  </sheetData>
  <sheetProtection/>
  <mergeCells count="1">
    <mergeCell ref="B3:F3"/>
  </mergeCells>
  <hyperlinks>
    <hyperlink ref="B3" location="HL_Home" tooltip="Go to Table of Contents" display="HL_Home"/>
    <hyperlink ref="A4" location="$B$5" tooltip="Go to Top of Sheet" display="$B$5"/>
    <hyperlink ref="B4" location="'XIRR_BA'!A1" tooltip="Go to Previous Sheet" display="'XIRR_BA'!A1"/>
    <hyperlink ref="C4" location="'Care_With_Dates_BA'!A1" tooltip="Go to Next Sheet" display="'Care_With_Dates_BA'!A1"/>
  </hyperlinks>
  <printOptions/>
  <pageMargins left="0.393700787401575" right="0.393700787401575" top="0.5905511811023625" bottom="0.9842519685039375" header="0" footer="0.3149606299212597"/>
  <pageSetup horizontalDpi="600" verticalDpi="600" orientation="landscape" paperSize="9" r:id="rId2"/>
  <headerFooter>
    <oddFooter>&amp;L&amp;"Arial,Bold"&amp;7&amp;F
&amp;A
Printed: &amp;T on &amp;D&amp;C&amp;"Arial,Bold"&amp;10Page &amp;P of &amp;N</oddFooter>
  </headerFooter>
  <drawing r:id="rId1"/>
</worksheet>
</file>

<file path=xl/worksheets/sheet7.xml><?xml version="1.0" encoding="utf-8"?>
<worksheet xmlns="http://schemas.openxmlformats.org/spreadsheetml/2006/main" xmlns:r="http://schemas.openxmlformats.org/officeDocument/2006/relationships">
  <dimension ref="A1:J38"/>
  <sheetViews>
    <sheetView showGridLines="0" zoomScalePageLayoutView="0" workbookViewId="0" topLeftCell="A1">
      <selection activeCell="A1" sqref="A1"/>
    </sheetView>
  </sheetViews>
  <sheetFormatPr defaultColWidth="10.83203125" defaultRowHeight="11.25"/>
  <cols>
    <col min="1" max="5" width="3.83203125" style="11" customWidth="1"/>
    <col min="6" max="6" width="25.33203125" style="11" bestFit="1" customWidth="1"/>
    <col min="7" max="7" width="12.16015625" style="11" bestFit="1" customWidth="1"/>
    <col min="8" max="8" width="18" style="11" bestFit="1" customWidth="1"/>
    <col min="9" max="10" width="10.83203125" style="11" customWidth="1"/>
    <col min="11" max="16384" width="10.83203125" style="11" customWidth="1"/>
  </cols>
  <sheetData>
    <row r="1" spans="1:2" ht="18">
      <c r="A1" s="32" t="s">
        <v>20</v>
      </c>
      <c r="B1" s="13" t="s">
        <v>54</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Care with dates</v>
      </c>
    </row>
    <row r="9" ht="12">
      <c r="C9" s="36" t="s">
        <v>32</v>
      </c>
    </row>
    <row r="11" spans="6:7" ht="12" thickBot="1">
      <c r="F11" s="50" t="s">
        <v>55</v>
      </c>
      <c r="G11" s="50" t="s">
        <v>56</v>
      </c>
    </row>
    <row r="12" spans="6:9" ht="12" thickBot="1">
      <c r="F12" s="55" t="s">
        <v>61</v>
      </c>
      <c r="G12" s="47">
        <v>-3000</v>
      </c>
      <c r="I12" s="55"/>
    </row>
    <row r="13" spans="6:9" ht="12" thickBot="1">
      <c r="F13" s="55" t="s">
        <v>57</v>
      </c>
      <c r="G13" s="56" t="s">
        <v>60</v>
      </c>
      <c r="I13" s="55"/>
    </row>
    <row r="14" spans="6:9" ht="12" thickBot="1">
      <c r="F14" s="55" t="s">
        <v>58</v>
      </c>
      <c r="G14" s="47">
        <v>500</v>
      </c>
      <c r="I14" s="55"/>
    </row>
    <row r="15" spans="6:9" ht="12" thickBot="1">
      <c r="F15" s="55" t="s">
        <v>59</v>
      </c>
      <c r="G15" s="47">
        <v>2000</v>
      </c>
      <c r="I15" s="55"/>
    </row>
    <row r="17" spans="6:7" ht="11.25">
      <c r="F17" s="11" t="s">
        <v>26</v>
      </c>
      <c r="G17" s="11" t="e">
        <f>XIRR(G12:G15,F12:F15)</f>
        <v>#VALUE!</v>
      </c>
    </row>
    <row r="18" ht="11.25">
      <c r="J18" s="57"/>
    </row>
    <row r="19" ht="11.25">
      <c r="J19" s="57"/>
    </row>
    <row r="20" spans="3:10" ht="12">
      <c r="C20" s="36" t="s">
        <v>68</v>
      </c>
      <c r="J20" s="57"/>
    </row>
    <row r="21" ht="11.25">
      <c r="J21" s="57"/>
    </row>
    <row r="22" spans="4:10" ht="11.25">
      <c r="D22" s="59" t="s">
        <v>65</v>
      </c>
      <c r="J22" s="57"/>
    </row>
    <row r="23" ht="12" thickBot="1">
      <c r="J23" s="57"/>
    </row>
    <row r="24" spans="6:10" ht="12" thickBot="1">
      <c r="F24" s="11" t="s">
        <v>66</v>
      </c>
      <c r="G24" s="27">
        <v>4</v>
      </c>
      <c r="J24" s="57"/>
    </row>
    <row r="25" ht="11.25">
      <c r="J25" s="57"/>
    </row>
    <row r="26" spans="4:10" ht="11.25">
      <c r="D26" s="59" t="s">
        <v>69</v>
      </c>
      <c r="J26" s="57"/>
    </row>
    <row r="27" ht="11.25">
      <c r="J27" s="57"/>
    </row>
    <row r="28" spans="6:10" ht="11.25">
      <c r="F28" s="11" t="s">
        <v>70</v>
      </c>
      <c r="G28" s="58">
        <f>DATEVALUE(F12)</f>
        <v>40971</v>
      </c>
      <c r="J28" s="57"/>
    </row>
    <row r="29" ht="11.25">
      <c r="J29" s="57"/>
    </row>
    <row r="30" spans="4:10" ht="11.25">
      <c r="D30" s="59" t="s">
        <v>67</v>
      </c>
      <c r="J30" s="57"/>
    </row>
    <row r="31" ht="11.25"/>
    <row r="32" spans="6:7" ht="12" thickBot="1">
      <c r="F32" s="50" t="s">
        <v>55</v>
      </c>
      <c r="G32" s="50" t="s">
        <v>56</v>
      </c>
    </row>
    <row r="33" spans="6:7" ht="12" thickBot="1">
      <c r="F33" s="58">
        <f>DATE(RIGHT(F12,Number_of_characters_in_year),LEFT(F12,FIND("/",F12)-1),MID(F12,FIND("/",F12)+1,LEN(F12)-FIND("/",F12)-(Number_of_characters_in_year+1)))</f>
        <v>40971</v>
      </c>
      <c r="G33" s="47">
        <v>-3000</v>
      </c>
    </row>
    <row r="34" spans="6:7" ht="12" thickBot="1">
      <c r="F34" s="58">
        <f>DATE(RIGHT(F13,Number_of_characters_in_year),LEFT(F13,FIND("/",F13)-1),MID(F13,FIND("/",F13)+1,LEN(F13)-FIND("/",F13)-(Number_of_characters_in_year+1)))</f>
        <v>41090</v>
      </c>
      <c r="G34" s="56" t="s">
        <v>60</v>
      </c>
    </row>
    <row r="35" spans="6:7" ht="12" thickBot="1">
      <c r="F35" s="58">
        <f>DATE(RIGHT(F14,Number_of_characters_in_year),LEFT(F14,FIND("/",F14)-1),MID(F14,FIND("/",F14)+1,LEN(F14)-FIND("/",F14)-(Number_of_characters_in_year+1)))</f>
        <v>41182</v>
      </c>
      <c r="G35" s="47">
        <v>500</v>
      </c>
    </row>
    <row r="36" spans="6:7" ht="12" thickBot="1">
      <c r="F36" s="58">
        <f>DATE(RIGHT(F15,Number_of_characters_in_year),LEFT(F15,FIND("/",F15)-1),MID(F15,FIND("/",F15)+1,LEN(F15)-FIND("/",F15)-(Number_of_characters_in_year+1)))</f>
        <v>41274</v>
      </c>
      <c r="G36" s="47">
        <v>2000</v>
      </c>
    </row>
    <row r="37" ht="11.25"/>
    <row r="38" spans="6:7" ht="11.25">
      <c r="F38" s="11" t="s">
        <v>26</v>
      </c>
      <c r="G38" s="48">
        <f>XIRR(G33:G36,F33:F36)</f>
        <v>0.27037387490272535</v>
      </c>
    </row>
    <row r="39" ht="11.25"/>
    <row r="40" ht="11.25"/>
  </sheetData>
  <sheetProtection/>
  <mergeCells count="1">
    <mergeCell ref="B3:F3"/>
  </mergeCells>
  <hyperlinks>
    <hyperlink ref="B3" location="HL_Home" tooltip="Go to Table of Contents" display="HL_Home"/>
    <hyperlink ref="A4" location="$B$5" tooltip="Go to Top of Sheet" display="$B$5"/>
    <hyperlink ref="B4" location="'IRR_vs._XIRR_BA'!A1" tooltip="Go to Previous Sheet" display="'IRR_vs._XIRR_BA'!A1"/>
    <hyperlink ref="C4" location="'Value_Not_Right_BA'!A1" tooltip="Go to Next Sheet" display="'Value_Not_Right_BA'!A1"/>
  </hyperlinks>
  <printOptions/>
  <pageMargins left="0.3937007874015748" right="0.3937007874015748" top="0.5905511811023623" bottom="0.984251968503937" header="0" footer="0.31496062992125984"/>
  <pageSetup horizontalDpi="600" verticalDpi="600" orientation="portrait" paperSize="9" scale="94" r:id="rId2"/>
  <headerFooter>
    <oddFooter>&amp;L&amp;"Arial,Bold"&amp;7&amp;F
&amp;A
Printed: &amp;T on &amp;D&amp;C&amp;"Arial,Bold"&amp;10Page &amp;P of &amp;N</oddFooter>
  </headerFooter>
  <drawing r:id="rId1"/>
</worksheet>
</file>

<file path=xl/worksheets/sheet8.xml><?xml version="1.0" encoding="utf-8"?>
<worksheet xmlns="http://schemas.openxmlformats.org/spreadsheetml/2006/main" xmlns:r="http://schemas.openxmlformats.org/officeDocument/2006/relationships">
  <dimension ref="A1:H174"/>
  <sheetViews>
    <sheetView showGridLines="0" zoomScalePageLayoutView="0" workbookViewId="0" topLeftCell="A1">
      <selection activeCell="A1" sqref="A1"/>
    </sheetView>
  </sheetViews>
  <sheetFormatPr defaultColWidth="10.83203125" defaultRowHeight="11.25" outlineLevelRow="1"/>
  <cols>
    <col min="1" max="5" width="3.83203125" style="11" customWidth="1"/>
    <col min="6" max="6" width="19.16015625" style="11" customWidth="1"/>
    <col min="7" max="7" width="12.16015625" style="11" bestFit="1" customWidth="1"/>
    <col min="8" max="8" width="18" style="11" bestFit="1" customWidth="1"/>
    <col min="9" max="10" width="10.83203125" style="11" customWidth="1"/>
    <col min="11" max="11" width="13.66015625" style="11" bestFit="1" customWidth="1"/>
    <col min="12" max="16384" width="10.83203125" style="11" customWidth="1"/>
  </cols>
  <sheetData>
    <row r="1" spans="1:2" ht="18">
      <c r="A1" s="32" t="s">
        <v>20</v>
      </c>
      <c r="B1" s="13" t="s">
        <v>42</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Having a value doesn't make it right</v>
      </c>
    </row>
    <row r="9" ht="12">
      <c r="C9" s="36" t="s">
        <v>32</v>
      </c>
    </row>
    <row r="11" spans="6:7" ht="11.25">
      <c r="F11" s="40" t="str">
        <f>Unreliable_XNPV_Check_BA!F11</f>
        <v>Days in Year</v>
      </c>
      <c r="G11" s="11">
        <f>Unreliable_XNPV_Check_BA!G11</f>
        <v>365</v>
      </c>
    </row>
    <row r="13" ht="12" thickBot="1">
      <c r="F13" s="50" t="s">
        <v>43</v>
      </c>
    </row>
    <row r="14" spans="6:7" ht="12" thickBot="1">
      <c r="F14" s="45">
        <f ca="1">DATE(YEAR(TODAY())+1+IF(MOD(YEAR(TODAY()),Leap_Year_Divisor)=Leap_Year_Divisor-1,1,0),1,1)</f>
        <v>41275</v>
      </c>
      <c r="G14" s="47">
        <v>5000</v>
      </c>
    </row>
    <row r="15" spans="6:7" ht="12" thickBot="1">
      <c r="F15" s="46">
        <f>F14+$G$11</f>
        <v>41640</v>
      </c>
      <c r="G15" s="47">
        <v>-55000</v>
      </c>
    </row>
    <row r="16" spans="6:7" ht="12" thickBot="1">
      <c r="F16" s="46">
        <f>F15+$G$11</f>
        <v>42005</v>
      </c>
      <c r="G16" s="47">
        <v>10000</v>
      </c>
    </row>
    <row r="17" spans="6:7" ht="12" thickBot="1">
      <c r="F17" s="46">
        <f>F16+$G$11</f>
        <v>42370</v>
      </c>
      <c r="G17" s="47">
        <v>60000</v>
      </c>
    </row>
    <row r="18" ht="11.25"/>
    <row r="19" spans="6:7" ht="11.25">
      <c r="F19" s="11" t="s">
        <v>26</v>
      </c>
      <c r="G19" s="11">
        <f>XIRR(G14:G17,F14:F17)</f>
        <v>2.9802322387695314E-09</v>
      </c>
    </row>
    <row r="20" spans="6:7" ht="11.25">
      <c r="F20" s="11" t="str">
        <f>"XNPV using "&amp;F19</f>
        <v>XNPV using XIRR</v>
      </c>
      <c r="G20" s="49">
        <f>XNPV(G19,G14:G17,F14:F17)</f>
        <v>19999.999567866325</v>
      </c>
    </row>
    <row r="21" ht="11.25">
      <c r="G21" s="49"/>
    </row>
    <row r="22" spans="6:7" ht="11.25">
      <c r="F22" s="11" t="s">
        <v>27</v>
      </c>
      <c r="G22" s="48">
        <f>IRR(G14:G17)</f>
        <v>0.2142677537534971</v>
      </c>
    </row>
    <row r="23" spans="6:7" ht="11.25">
      <c r="F23" s="11" t="str">
        <f>"XNPV using "&amp;F22</f>
        <v>XNPV using IRR</v>
      </c>
      <c r="G23" s="49">
        <f>XNPV(G22,G14:G17,F14:F17)</f>
        <v>5.238689482212067E-10</v>
      </c>
    </row>
    <row r="26" ht="12">
      <c r="C26" s="36" t="s">
        <v>45</v>
      </c>
    </row>
    <row r="28" spans="6:7" ht="11.25">
      <c r="F28" s="40" t="str">
        <f>F13</f>
        <v>Dates</v>
      </c>
      <c r="G28" s="49"/>
    </row>
    <row r="29" spans="6:7" ht="11.25">
      <c r="F29" s="45">
        <f aca="true" t="shared" si="0" ref="F29:G32">F14</f>
        <v>41275</v>
      </c>
      <c r="G29" s="49">
        <f t="shared" si="0"/>
        <v>5000</v>
      </c>
    </row>
    <row r="30" spans="6:7" ht="11.25">
      <c r="F30" s="46">
        <f t="shared" si="0"/>
        <v>41640</v>
      </c>
      <c r="G30" s="49">
        <f t="shared" si="0"/>
        <v>-55000</v>
      </c>
    </row>
    <row r="31" spans="6:7" ht="11.25">
      <c r="F31" s="46">
        <f t="shared" si="0"/>
        <v>42005</v>
      </c>
      <c r="G31" s="49">
        <f t="shared" si="0"/>
        <v>10000</v>
      </c>
    </row>
    <row r="32" spans="6:7" ht="11.25">
      <c r="F32" s="46">
        <f t="shared" si="0"/>
        <v>42370</v>
      </c>
      <c r="G32" s="49">
        <f t="shared" si="0"/>
        <v>60000</v>
      </c>
    </row>
    <row r="33" ht="11.25"/>
    <row r="34" spans="6:7" ht="11.25">
      <c r="F34" s="11" t="s">
        <v>26</v>
      </c>
      <c r="G34" s="11">
        <f>XIRR(G29:G32,F29:F32,G37)</f>
        <v>3.1928383373245165E-09</v>
      </c>
    </row>
    <row r="35" spans="6:7" ht="11.25">
      <c r="F35" s="11" t="str">
        <f>"XNPV using "&amp;F34</f>
        <v>XNPV using XIRR</v>
      </c>
      <c r="G35" s="49">
        <f>XNPV(G34,G29:G32,F29:F32)</f>
        <v>19999.999537038428</v>
      </c>
    </row>
    <row r="36" ht="11.25">
      <c r="G36" s="49"/>
    </row>
    <row r="37" spans="6:8" ht="11.25">
      <c r="F37" s="11" t="s">
        <v>27</v>
      </c>
      <c r="G37" s="48">
        <f>IRR(G29:G32)</f>
        <v>0.2142677537534971</v>
      </c>
      <c r="H37" s="51"/>
    </row>
    <row r="38" spans="6:7" ht="11.25">
      <c r="F38" s="11" t="str">
        <f>"XNPV using "&amp;F37</f>
        <v>XNPV using IRR</v>
      </c>
      <c r="G38" s="49">
        <f>XNPV(G37,G29:G32,F29:F32)</f>
        <v>5.238689482212067E-10</v>
      </c>
    </row>
    <row r="41" ht="12">
      <c r="C41" s="36" t="s">
        <v>44</v>
      </c>
    </row>
    <row r="43" spans="6:7" ht="11.25">
      <c r="F43" s="40" t="str">
        <f>F28</f>
        <v>Dates</v>
      </c>
      <c r="G43" s="49"/>
    </row>
    <row r="44" spans="6:7" ht="11.25">
      <c r="F44" s="45">
        <f>F29</f>
        <v>41275</v>
      </c>
      <c r="G44" s="49">
        <f>G29</f>
        <v>5000</v>
      </c>
    </row>
    <row r="45" spans="6:7" ht="11.25">
      <c r="F45" s="46">
        <f>F30</f>
        <v>41640</v>
      </c>
      <c r="G45" s="49">
        <f>G30</f>
        <v>-55000</v>
      </c>
    </row>
    <row r="46" spans="6:7" ht="11.25">
      <c r="F46" s="46">
        <f>F31</f>
        <v>42005</v>
      </c>
      <c r="G46" s="49">
        <f>G31</f>
        <v>10000</v>
      </c>
    </row>
    <row r="47" spans="6:7" ht="11.25">
      <c r="F47" s="46">
        <f>F32</f>
        <v>42370</v>
      </c>
      <c r="G47" s="49">
        <f>G32</f>
        <v>60000</v>
      </c>
    </row>
    <row r="48" ht="11.25"/>
    <row r="49" spans="6:7" ht="11.25">
      <c r="F49" s="11" t="s">
        <v>26</v>
      </c>
      <c r="G49" s="11">
        <f>XIRR(G44:G47,F44:F47,0.214267753753497)</f>
        <v>3.192838337324515E-09</v>
      </c>
    </row>
    <row r="50" spans="6:7" ht="11.25">
      <c r="F50" s="11" t="str">
        <f>"XNPV using "&amp;F49</f>
        <v>XNPV using XIRR</v>
      </c>
      <c r="G50" s="49">
        <f>XNPV(G49,G44:G47,F44:F47)</f>
        <v>19999.999537038428</v>
      </c>
    </row>
    <row r="51" ht="11.25">
      <c r="G51" s="49"/>
    </row>
    <row r="52" spans="6:7" ht="11.25">
      <c r="F52" s="11" t="s">
        <v>27</v>
      </c>
      <c r="G52" s="48">
        <f>IRR(G44:G47)</f>
        <v>0.2142677537534971</v>
      </c>
    </row>
    <row r="53" spans="6:7" ht="11.25">
      <c r="F53" s="11" t="str">
        <f>"XNPV using "&amp;F52</f>
        <v>XNPV using IRR</v>
      </c>
      <c r="G53" s="49">
        <f>XNPV(G52,G44:G47,F44:F47)</f>
        <v>5.238689482212067E-10</v>
      </c>
    </row>
    <row r="56" ht="12">
      <c r="C56" s="36" t="s">
        <v>46</v>
      </c>
    </row>
    <row r="58" spans="6:7" ht="11.25">
      <c r="F58" s="40" t="str">
        <f>F43</f>
        <v>Dates</v>
      </c>
      <c r="G58" s="49"/>
    </row>
    <row r="59" spans="6:7" ht="11.25">
      <c r="F59" s="45">
        <f>F44</f>
        <v>41275</v>
      </c>
      <c r="G59" s="49">
        <f>G44</f>
        <v>5000</v>
      </c>
    </row>
    <row r="60" spans="6:7" ht="11.25">
      <c r="F60" s="46">
        <f>F45</f>
        <v>41640</v>
      </c>
      <c r="G60" s="49">
        <f>G45</f>
        <v>-55000</v>
      </c>
    </row>
    <row r="61" spans="6:7" ht="11.25">
      <c r="F61" s="46">
        <f>F46</f>
        <v>42005</v>
      </c>
      <c r="G61" s="49">
        <f>G46</f>
        <v>10000</v>
      </c>
    </row>
    <row r="62" spans="6:7" ht="11.25">
      <c r="F62" s="46">
        <f>F47</f>
        <v>42370</v>
      </c>
      <c r="G62" s="49">
        <f>G47</f>
        <v>60000</v>
      </c>
    </row>
    <row r="63" ht="11.25"/>
    <row r="64" spans="6:7" ht="11.25">
      <c r="F64" s="11" t="s">
        <v>26</v>
      </c>
      <c r="G64" s="48">
        <f>XIRR(G59:G62,F59:F62,0.2143)</f>
        <v>9.708589494633673</v>
      </c>
    </row>
    <row r="65" spans="6:7" ht="11.25">
      <c r="F65" s="11" t="str">
        <f>"XNPV using "&amp;F64</f>
        <v>XNPV using XIRR</v>
      </c>
      <c r="G65" s="49">
        <f>XNPV(G64,G59:G62,F59:F62)</f>
        <v>1.2433991102511754E-05</v>
      </c>
    </row>
    <row r="66" ht="11.25">
      <c r="G66" s="49"/>
    </row>
    <row r="67" spans="6:7" ht="11.25">
      <c r="F67" s="11" t="s">
        <v>27</v>
      </c>
      <c r="G67" s="48">
        <f>IRR(G59:G62)</f>
        <v>0.2142677537534971</v>
      </c>
    </row>
    <row r="68" spans="6:7" ht="11.25">
      <c r="F68" s="11" t="str">
        <f>"XNPV using "&amp;F67</f>
        <v>XNPV using IRR</v>
      </c>
      <c r="G68" s="49">
        <f>XNPV(G67,G59:G62,F59:F62)</f>
        <v>5.238689482212067E-10</v>
      </c>
    </row>
    <row r="71" ht="12" hidden="1" outlineLevel="1">
      <c r="C71" s="36" t="s">
        <v>48</v>
      </c>
    </row>
    <row r="72" ht="11.25" hidden="1" outlineLevel="1"/>
    <row r="73" spans="6:7" ht="11.25" hidden="1" outlineLevel="1">
      <c r="F73" s="40" t="s">
        <v>47</v>
      </c>
      <c r="G73" s="40" t="s">
        <v>39</v>
      </c>
    </row>
    <row r="74" spans="6:7" ht="11.25" hidden="1" outlineLevel="1">
      <c r="F74" s="52">
        <v>0</v>
      </c>
      <c r="G74" s="49">
        <f>SUM($G$14:$G$17)</f>
        <v>20000</v>
      </c>
    </row>
    <row r="75" spans="6:7" ht="11.25" hidden="1" outlineLevel="1">
      <c r="F75" s="52">
        <f>N(F74)+0.1</f>
        <v>0.1</v>
      </c>
      <c r="G75" s="49">
        <f aca="true" t="shared" si="1" ref="G75:G139">XNPV($F75,$G$14:$G$17,$F$14:$F$17)</f>
        <v>8343.350864012005</v>
      </c>
    </row>
    <row r="76" spans="6:7" ht="11.25" hidden="1" outlineLevel="1">
      <c r="F76" s="52">
        <f>N(F75)+0.1</f>
        <v>0.2</v>
      </c>
      <c r="G76" s="49">
        <f t="shared" si="1"/>
        <v>833.3333333333285</v>
      </c>
    </row>
    <row r="77" spans="6:7" ht="11.25" hidden="1" outlineLevel="1">
      <c r="F77" s="52">
        <f aca="true" t="shared" si="2" ref="F77:F97">N(F76)+0.1</f>
        <v>0.30000000000000004</v>
      </c>
      <c r="G77" s="49">
        <f t="shared" si="1"/>
        <v>-4080.5644060081977</v>
      </c>
    </row>
    <row r="78" spans="6:7" ht="11.25" hidden="1" outlineLevel="1">
      <c r="F78" s="52">
        <f t="shared" si="2"/>
        <v>0.4</v>
      </c>
      <c r="G78" s="49">
        <f t="shared" si="1"/>
        <v>-7317.784256559764</v>
      </c>
    </row>
    <row r="79" spans="6:7" ht="11.25" hidden="1" outlineLevel="1">
      <c r="F79" s="52">
        <f t="shared" si="2"/>
        <v>0.5</v>
      </c>
      <c r="G79" s="49">
        <f t="shared" si="1"/>
        <v>-9444.444444444442</v>
      </c>
    </row>
    <row r="80" spans="6:7" ht="11.25" hidden="1" outlineLevel="1">
      <c r="F80" s="52">
        <f t="shared" si="2"/>
        <v>0.6</v>
      </c>
      <c r="G80" s="49">
        <f t="shared" si="1"/>
        <v>-10820.312500000004</v>
      </c>
    </row>
    <row r="81" spans="6:7" ht="11.25" hidden="1" outlineLevel="1">
      <c r="F81" s="52">
        <f t="shared" si="2"/>
        <v>0.7</v>
      </c>
      <c r="G81" s="49">
        <f t="shared" si="1"/>
        <v>-11680.236108284142</v>
      </c>
    </row>
    <row r="82" spans="6:7" ht="11.25" hidden="1" outlineLevel="1">
      <c r="F82" s="52">
        <f t="shared" si="2"/>
        <v>0.7999999999999999</v>
      </c>
      <c r="G82" s="49">
        <f t="shared" si="1"/>
        <v>-12181.069958847733</v>
      </c>
    </row>
    <row r="83" spans="6:7" ht="11.25" hidden="1" outlineLevel="1">
      <c r="F83" s="52">
        <f t="shared" si="2"/>
        <v>0.8999999999999999</v>
      </c>
      <c r="G83" s="49">
        <f t="shared" si="1"/>
        <v>-12429.654468581428</v>
      </c>
    </row>
    <row r="84" spans="6:7" ht="11.25" hidden="1" outlineLevel="1">
      <c r="F84" s="52">
        <f t="shared" si="2"/>
        <v>0.9999999999999999</v>
      </c>
      <c r="G84" s="49">
        <f t="shared" si="1"/>
        <v>-12500</v>
      </c>
    </row>
    <row r="85" spans="6:7" ht="11.25" hidden="1" outlineLevel="1">
      <c r="F85" s="52">
        <f t="shared" si="2"/>
        <v>1.0999999999999999</v>
      </c>
      <c r="G85" s="49">
        <f t="shared" si="1"/>
        <v>-12444.120505344996</v>
      </c>
    </row>
    <row r="86" spans="6:7" ht="11.25" hidden="1" outlineLevel="1">
      <c r="F86" s="52">
        <f t="shared" si="2"/>
        <v>1.2</v>
      </c>
      <c r="G86" s="49">
        <f t="shared" si="1"/>
        <v>-12299.023290758825</v>
      </c>
    </row>
    <row r="87" spans="6:7" ht="11.25" hidden="1" outlineLevel="1">
      <c r="F87" s="52">
        <f t="shared" si="2"/>
        <v>1.3</v>
      </c>
      <c r="G87" s="49">
        <f t="shared" si="1"/>
        <v>-12091.312566778994</v>
      </c>
    </row>
    <row r="88" spans="6:7" ht="11.25" hidden="1" outlineLevel="1">
      <c r="F88" s="52">
        <f t="shared" si="2"/>
        <v>1.4000000000000001</v>
      </c>
      <c r="G88" s="49">
        <f t="shared" si="1"/>
        <v>-11840.277777777777</v>
      </c>
    </row>
    <row r="89" spans="6:7" ht="11.25" hidden="1" outlineLevel="1">
      <c r="F89" s="52">
        <f t="shared" si="2"/>
        <v>1.5000000000000002</v>
      </c>
      <c r="G89" s="49">
        <f t="shared" si="1"/>
        <v>-11560</v>
      </c>
    </row>
    <row r="90" spans="6:7" ht="11.25" hidden="1" outlineLevel="1">
      <c r="F90" s="52">
        <f t="shared" si="2"/>
        <v>1.6000000000000003</v>
      </c>
      <c r="G90" s="49">
        <f t="shared" si="1"/>
        <v>-11260.810195721437</v>
      </c>
    </row>
    <row r="91" spans="6:7" ht="11.25" hidden="1" outlineLevel="1">
      <c r="F91" s="52">
        <f t="shared" si="2"/>
        <v>1.7000000000000004</v>
      </c>
      <c r="G91" s="49">
        <f t="shared" si="1"/>
        <v>-10950.312452370064</v>
      </c>
    </row>
    <row r="92" spans="6:7" ht="11.25" hidden="1" outlineLevel="1">
      <c r="F92" s="52">
        <f t="shared" si="2"/>
        <v>1.8000000000000005</v>
      </c>
      <c r="G92" s="49">
        <f t="shared" si="1"/>
        <v>-10634.11078717201</v>
      </c>
    </row>
    <row r="93" spans="6:7" ht="11.25" hidden="1" outlineLevel="1">
      <c r="F93" s="52">
        <f t="shared" si="2"/>
        <v>1.9000000000000006</v>
      </c>
      <c r="G93" s="49">
        <f t="shared" si="1"/>
        <v>-10316.331132887775</v>
      </c>
    </row>
    <row r="94" spans="6:7" ht="11.25" hidden="1" outlineLevel="1">
      <c r="F94" s="52">
        <f t="shared" si="2"/>
        <v>2.0000000000000004</v>
      </c>
      <c r="G94" s="49">
        <f t="shared" si="1"/>
        <v>-10000</v>
      </c>
    </row>
    <row r="95" spans="6:7" ht="11.25" hidden="1" outlineLevel="1">
      <c r="F95" s="52">
        <f t="shared" si="2"/>
        <v>2.1000000000000005</v>
      </c>
      <c r="G95" s="49">
        <f t="shared" si="1"/>
        <v>-9687.321674331175</v>
      </c>
    </row>
    <row r="96" spans="6:7" ht="11.25" hidden="1" outlineLevel="1">
      <c r="F96" s="52">
        <f t="shared" si="2"/>
        <v>2.2000000000000006</v>
      </c>
      <c r="G96" s="49">
        <f t="shared" si="1"/>
        <v>-9379.882812499996</v>
      </c>
    </row>
    <row r="97" spans="6:7" ht="11.25" hidden="1" outlineLevel="1">
      <c r="F97" s="52">
        <f t="shared" si="2"/>
        <v>2.3000000000000007</v>
      </c>
      <c r="G97" s="49">
        <f t="shared" si="1"/>
        <v>-9078.804574672342</v>
      </c>
    </row>
    <row r="98" spans="6:7" ht="11.25" hidden="1" outlineLevel="1">
      <c r="F98" s="52">
        <f aca="true" t="shared" si="3" ref="F98:F128">N(F97)+0.1</f>
        <v>2.400000000000001</v>
      </c>
      <c r="G98" s="49">
        <f t="shared" si="1"/>
        <v>-8784.856503154893</v>
      </c>
    </row>
    <row r="99" spans="6:7" ht="11.25" hidden="1" outlineLevel="1">
      <c r="F99" s="52">
        <f t="shared" si="3"/>
        <v>2.500000000000001</v>
      </c>
      <c r="G99" s="49">
        <f t="shared" si="1"/>
        <v>-8498.542274052475</v>
      </c>
    </row>
    <row r="100" spans="6:7" ht="11.25" hidden="1" outlineLevel="1">
      <c r="F100" s="52">
        <f t="shared" si="3"/>
        <v>2.600000000000001</v>
      </c>
      <c r="G100" s="49">
        <f t="shared" si="1"/>
        <v>-8220.164609053496</v>
      </c>
    </row>
    <row r="101" spans="6:7" ht="11.25" hidden="1" outlineLevel="1">
      <c r="F101" s="52">
        <f t="shared" si="3"/>
        <v>2.700000000000001</v>
      </c>
      <c r="G101" s="49">
        <f t="shared" si="1"/>
        <v>-7949.874637237674</v>
      </c>
    </row>
    <row r="102" spans="6:7" ht="11.25" hidden="1" outlineLevel="1">
      <c r="F102" s="52">
        <f t="shared" si="3"/>
        <v>2.800000000000001</v>
      </c>
      <c r="G102" s="49">
        <f t="shared" si="1"/>
        <v>-7687.7095786557775</v>
      </c>
    </row>
    <row r="103" spans="6:7" ht="11.25" hidden="1" outlineLevel="1">
      <c r="F103" s="52">
        <f t="shared" si="3"/>
        <v>2.9000000000000012</v>
      </c>
      <c r="G103" s="49">
        <f t="shared" si="1"/>
        <v>-7433.621605219236</v>
      </c>
    </row>
    <row r="104" spans="6:7" ht="11.25" hidden="1" outlineLevel="1">
      <c r="F104" s="52">
        <f t="shared" si="3"/>
        <v>3.0000000000000013</v>
      </c>
      <c r="G104" s="49">
        <f t="shared" si="1"/>
        <v>-7187.499999999996</v>
      </c>
    </row>
    <row r="105" spans="6:7" ht="11.25" hidden="1" outlineLevel="1">
      <c r="F105" s="52">
        <f t="shared" si="3"/>
        <v>3.1000000000000014</v>
      </c>
      <c r="G105" s="49">
        <f t="shared" si="1"/>
        <v>-6949.188200983732</v>
      </c>
    </row>
    <row r="106" spans="6:7" ht="11.25" hidden="1" outlineLevel="1">
      <c r="F106" s="52">
        <f t="shared" si="3"/>
        <v>3.2000000000000015</v>
      </c>
      <c r="G106" s="49">
        <f t="shared" si="1"/>
        <v>-6718.496922578552</v>
      </c>
    </row>
    <row r="107" spans="6:7" ht="11.25" hidden="1" outlineLevel="1">
      <c r="F107" s="52">
        <f t="shared" si="3"/>
        <v>3.3000000000000016</v>
      </c>
      <c r="G107" s="49">
        <f t="shared" si="1"/>
        <v>-6495.214257864083</v>
      </c>
    </row>
    <row r="108" spans="6:7" ht="11.25" hidden="1" outlineLevel="1">
      <c r="F108" s="52">
        <f t="shared" si="3"/>
        <v>3.4000000000000017</v>
      </c>
      <c r="G108" s="49">
        <f t="shared" si="1"/>
        <v>-6279.113448534932</v>
      </c>
    </row>
    <row r="109" spans="6:7" ht="11.25" hidden="1" outlineLevel="1">
      <c r="F109" s="52">
        <f t="shared" si="3"/>
        <v>3.5000000000000018</v>
      </c>
      <c r="G109" s="49">
        <f t="shared" si="1"/>
        <v>-6069.9588477366215</v>
      </c>
    </row>
    <row r="110" spans="6:7" ht="11.25" hidden="1" outlineLevel="1">
      <c r="F110" s="52">
        <f t="shared" si="3"/>
        <v>3.600000000000002</v>
      </c>
      <c r="G110" s="49">
        <f t="shared" si="1"/>
        <v>-5867.510479164951</v>
      </c>
    </row>
    <row r="111" spans="6:7" ht="11.25" hidden="1" outlineLevel="1">
      <c r="F111" s="52">
        <f t="shared" si="3"/>
        <v>3.700000000000002</v>
      </c>
      <c r="G111" s="49">
        <f t="shared" si="1"/>
        <v>-5671.527503539675</v>
      </c>
    </row>
    <row r="112" spans="6:7" ht="11.25" hidden="1" outlineLevel="1">
      <c r="F112" s="52">
        <f t="shared" si="3"/>
        <v>3.800000000000002</v>
      </c>
      <c r="G112" s="49">
        <f t="shared" si="1"/>
        <v>-5481.770833333328</v>
      </c>
    </row>
    <row r="113" spans="6:7" ht="11.25" hidden="1" outlineLevel="1">
      <c r="F113" s="52">
        <f t="shared" si="3"/>
        <v>3.900000000000002</v>
      </c>
      <c r="G113" s="49">
        <f t="shared" si="1"/>
        <v>-5298.005082916126</v>
      </c>
    </row>
    <row r="114" spans="6:7" ht="11.25" hidden="1" outlineLevel="1">
      <c r="F114" s="52">
        <f t="shared" si="3"/>
        <v>4.000000000000002</v>
      </c>
      <c r="G114" s="49">
        <f t="shared" si="1"/>
        <v>-5119.999999999997</v>
      </c>
    </row>
    <row r="115" spans="6:7" ht="11.25" hidden="1" outlineLevel="1">
      <c r="F115" s="52">
        <f t="shared" si="3"/>
        <v>4.100000000000001</v>
      </c>
      <c r="G115" s="49">
        <f t="shared" si="1"/>
        <v>-4947.5314924124195</v>
      </c>
    </row>
    <row r="116" spans="6:7" ht="11.25" hidden="1" outlineLevel="1">
      <c r="F116" s="52">
        <f t="shared" si="3"/>
        <v>4.200000000000001</v>
      </c>
      <c r="G116" s="49">
        <f t="shared" si="1"/>
        <v>-4780.382339553935</v>
      </c>
    </row>
    <row r="117" spans="6:7" ht="11.25" hidden="1" outlineLevel="1">
      <c r="F117" s="52">
        <f t="shared" si="3"/>
        <v>4.300000000000001</v>
      </c>
      <c r="G117" s="49">
        <f t="shared" si="1"/>
        <v>-4618.342658704834</v>
      </c>
    </row>
    <row r="118" spans="6:7" ht="11.25" hidden="1" outlineLevel="1">
      <c r="F118" s="52">
        <f t="shared" si="3"/>
        <v>4.4</v>
      </c>
      <c r="G118" s="49">
        <f t="shared" si="1"/>
        <v>-4461.2101813747895</v>
      </c>
    </row>
    <row r="119" spans="6:7" ht="11.25" hidden="1" outlineLevel="1">
      <c r="F119" s="52">
        <f t="shared" si="3"/>
        <v>4.5</v>
      </c>
      <c r="G119" s="49">
        <f t="shared" si="1"/>
        <v>-4308.790383170548</v>
      </c>
    </row>
    <row r="120" spans="6:7" ht="11.25" hidden="1" outlineLevel="1">
      <c r="F120" s="52">
        <f t="shared" si="3"/>
        <v>4.6</v>
      </c>
      <c r="G120" s="49">
        <f t="shared" si="1"/>
        <v>-4160.896501457726</v>
      </c>
    </row>
    <row r="121" spans="6:7" ht="11.25" hidden="1" outlineLevel="1">
      <c r="F121" s="52">
        <f t="shared" si="3"/>
        <v>4.699999999999999</v>
      </c>
      <c r="G121" s="49">
        <f t="shared" si="1"/>
        <v>-4017.349467852458</v>
      </c>
    </row>
    <row r="122" spans="6:7" ht="11.25" hidden="1" outlineLevel="1">
      <c r="F122" s="52">
        <f t="shared" si="3"/>
        <v>4.799999999999999</v>
      </c>
      <c r="G122" s="49">
        <f t="shared" si="1"/>
        <v>-3877.977776866622</v>
      </c>
    </row>
    <row r="123" spans="6:7" ht="11.25" hidden="1" outlineLevel="1">
      <c r="F123" s="52">
        <f t="shared" si="3"/>
        <v>4.899999999999999</v>
      </c>
      <c r="G123" s="49">
        <f t="shared" si="1"/>
        <v>-3742.617307514403</v>
      </c>
    </row>
    <row r="124" spans="6:7" ht="11.25" hidden="1" outlineLevel="1">
      <c r="F124" s="52">
        <f t="shared" si="3"/>
        <v>4.999999999999998</v>
      </c>
      <c r="G124" s="49">
        <f t="shared" si="1"/>
        <v>-3611.111111111114</v>
      </c>
    </row>
    <row r="125" spans="6:7" ht="11.25" hidden="1" outlineLevel="1">
      <c r="F125" s="52">
        <f t="shared" si="3"/>
        <v>5.099999999999998</v>
      </c>
      <c r="G125" s="49">
        <f t="shared" si="1"/>
        <v>-3483.3091756578765</v>
      </c>
    </row>
    <row r="126" spans="6:7" ht="11.25" hidden="1" outlineLevel="1">
      <c r="F126" s="52">
        <f t="shared" si="3"/>
        <v>5.1999999999999975</v>
      </c>
      <c r="G126" s="49">
        <f t="shared" si="1"/>
        <v>-3359.068174952169</v>
      </c>
    </row>
    <row r="127" spans="6:7" ht="11.25" hidden="1" outlineLevel="1">
      <c r="F127" s="52">
        <f t="shared" si="3"/>
        <v>5.299999999999997</v>
      </c>
      <c r="G127" s="49">
        <f t="shared" si="1"/>
        <v>-3238.251208772753</v>
      </c>
    </row>
    <row r="128" spans="6:7" ht="11.25" hidden="1" outlineLevel="1">
      <c r="F128" s="52">
        <f t="shared" si="3"/>
        <v>5.399999999999997</v>
      </c>
      <c r="G128" s="49">
        <f t="shared" si="1"/>
        <v>-3120.7275390625027</v>
      </c>
    </row>
    <row r="129" spans="6:7" ht="11.25" hidden="1" outlineLevel="1">
      <c r="F129" s="52">
        <f>N(F128)+0.1</f>
        <v>5.4999999999999964</v>
      </c>
      <c r="G129" s="49">
        <f>XNPV($F129,$G$14:$G$17,$F$14:$F$17)</f>
        <v>-3006.3723258989576</v>
      </c>
    </row>
    <row r="130" spans="6:7" ht="11.25" hidden="1" outlineLevel="1">
      <c r="F130" s="52">
        <f aca="true" t="shared" si="4" ref="F130:F149">N(F129)+0.1</f>
        <v>5.599999999999996</v>
      </c>
      <c r="G130" s="49">
        <f t="shared" si="1"/>
        <v>-2895.06636614075</v>
      </c>
    </row>
    <row r="131" spans="6:7" ht="11.25" hidden="1" outlineLevel="1">
      <c r="F131" s="52">
        <f t="shared" si="4"/>
        <v>5.699999999999996</v>
      </c>
      <c r="G131" s="49">
        <f t="shared" si="1"/>
        <v>-2786.695836921435</v>
      </c>
    </row>
    <row r="132" spans="6:7" ht="11.25" hidden="1" outlineLevel="1">
      <c r="F132" s="52">
        <f t="shared" si="4"/>
        <v>5.799999999999995</v>
      </c>
      <c r="G132" s="49">
        <f t="shared" si="1"/>
        <v>-2681.1520455933282</v>
      </c>
    </row>
    <row r="133" spans="6:7" ht="11.25" hidden="1" outlineLevel="1">
      <c r="F133" s="52">
        <f t="shared" si="4"/>
        <v>5.899999999999995</v>
      </c>
      <c r="G133" s="49">
        <f t="shared" si="1"/>
        <v>-2578.3311872734134</v>
      </c>
    </row>
    <row r="134" spans="6:7" ht="11.25" hidden="1" outlineLevel="1">
      <c r="F134" s="52">
        <f t="shared" si="4"/>
        <v>5.999999999999995</v>
      </c>
      <c r="G134" s="49">
        <f t="shared" si="1"/>
        <v>-2478.134110787177</v>
      </c>
    </row>
    <row r="135" spans="6:7" ht="11.25" hidden="1" outlineLevel="1">
      <c r="F135" s="52">
        <f t="shared" si="4"/>
        <v>6.099999999999994</v>
      </c>
      <c r="G135" s="49">
        <f t="shared" si="1"/>
        <v>-2380.4660935260495</v>
      </c>
    </row>
    <row r="136" spans="6:7" ht="11.25" hidden="1" outlineLevel="1">
      <c r="F136" s="52">
        <f t="shared" si="4"/>
        <v>6.199999999999994</v>
      </c>
      <c r="G136" s="49">
        <f t="shared" si="1"/>
        <v>-2285.236625514409</v>
      </c>
    </row>
    <row r="137" spans="6:7" ht="11.25" hidden="1" outlineLevel="1">
      <c r="F137" s="52">
        <f t="shared" si="4"/>
        <v>6.299999999999994</v>
      </c>
      <c r="G137" s="49">
        <f t="shared" si="1"/>
        <v>-2192.359202811194</v>
      </c>
    </row>
    <row r="138" spans="6:7" ht="11.25" hidden="1" outlineLevel="1">
      <c r="F138" s="52">
        <f t="shared" si="4"/>
        <v>6.399999999999993</v>
      </c>
      <c r="G138" s="49">
        <f t="shared" si="1"/>
        <v>-2101.751130239083</v>
      </c>
    </row>
    <row r="139" spans="6:7" ht="11.25" hidden="1" outlineLevel="1">
      <c r="F139" s="52">
        <f t="shared" si="4"/>
        <v>6.499999999999993</v>
      </c>
      <c r="G139" s="49">
        <f t="shared" si="1"/>
        <v>-2013.3333333333394</v>
      </c>
    </row>
    <row r="140" spans="6:7" ht="11.25" hidden="1" outlineLevel="1">
      <c r="F140" s="52">
        <f t="shared" si="4"/>
        <v>6.5999999999999925</v>
      </c>
      <c r="G140" s="49">
        <f aca="true" t="shared" si="5" ref="G140:G149">XNPV($F140,$G$14:$G$17,$F$14:$F$17)</f>
        <v>-1927.0301793264384</v>
      </c>
    </row>
    <row r="141" spans="6:7" ht="11.25" hidden="1" outlineLevel="1">
      <c r="F141" s="52">
        <f t="shared" si="4"/>
        <v>6.699999999999992</v>
      </c>
      <c r="G141" s="49">
        <f t="shared" si="5"/>
        <v>-1842.769306928531</v>
      </c>
    </row>
    <row r="142" spans="6:7" ht="11.25" hidden="1" outlineLevel="1">
      <c r="F142" s="52">
        <f t="shared" si="4"/>
        <v>6.799999999999992</v>
      </c>
      <c r="G142" s="49">
        <f t="shared" si="5"/>
        <v>-1760.4814646234836</v>
      </c>
    </row>
    <row r="143" spans="6:7" ht="11.25" hidden="1" outlineLevel="1">
      <c r="F143" s="52">
        <f t="shared" si="4"/>
        <v>6.8999999999999915</v>
      </c>
      <c r="G143" s="49">
        <f t="shared" si="5"/>
        <v>-1680.1003571725628</v>
      </c>
    </row>
    <row r="144" spans="6:7" ht="11.25" hidden="1" outlineLevel="1">
      <c r="F144" s="52">
        <f t="shared" si="4"/>
        <v>6.999999999999991</v>
      </c>
      <c r="G144" s="49">
        <f t="shared" si="5"/>
        <v>-1601.5625000000064</v>
      </c>
    </row>
    <row r="145" spans="6:7" ht="11.25" hidden="1" outlineLevel="1">
      <c r="F145" s="52">
        <f t="shared" si="4"/>
        <v>7.099999999999991</v>
      </c>
      <c r="G145" s="49">
        <f t="shared" si="5"/>
        <v>-1524.8070811247226</v>
      </c>
    </row>
    <row r="146" spans="6:7" ht="11.25" hidden="1" outlineLevel="1">
      <c r="F146" s="52">
        <f t="shared" si="4"/>
        <v>7.19999999999999</v>
      </c>
      <c r="G146" s="49">
        <f t="shared" si="5"/>
        <v>-1449.7758302984648</v>
      </c>
    </row>
    <row r="147" spans="6:7" ht="11.25" hidden="1" outlineLevel="1">
      <c r="F147" s="52">
        <f t="shared" si="4"/>
        <v>7.29999999999999</v>
      </c>
      <c r="G147" s="49">
        <f t="shared" si="5"/>
        <v>-1376.4128950116108</v>
      </c>
    </row>
    <row r="148" spans="6:7" ht="11.25" hidden="1" outlineLevel="1">
      <c r="F148" s="52">
        <f t="shared" si="4"/>
        <v>7.39999999999999</v>
      </c>
      <c r="G148" s="49">
        <f t="shared" si="5"/>
        <v>-1304.6647230320775</v>
      </c>
    </row>
    <row r="149" spans="6:7" ht="11.25" hidden="1" outlineLevel="1">
      <c r="F149" s="52">
        <f t="shared" si="4"/>
        <v>7.499999999999989</v>
      </c>
      <c r="G149" s="49">
        <f t="shared" si="5"/>
        <v>-1234.479951150018</v>
      </c>
    </row>
    <row r="150" spans="6:7" ht="11.25" hidden="1" outlineLevel="1">
      <c r="F150" s="52">
        <f>N(F149)+0.1</f>
        <v>7.599999999999989</v>
      </c>
      <c r="G150" s="49">
        <f>XNPV($F150,$G$14:$G$17,$F$14:$F$17)</f>
        <v>-1165.8092998100872</v>
      </c>
    </row>
    <row r="151" spans="6:7" ht="11.25" hidden="1" outlineLevel="1">
      <c r="F151" s="52">
        <f aca="true" t="shared" si="6" ref="F151:F162">N(F150)+0.1</f>
        <v>7.699999999999989</v>
      </c>
      <c r="G151" s="49">
        <f aca="true" t="shared" si="7" ref="G151:G162">XNPV($F151,$G$14:$G$17,$F$14:$F$17)</f>
        <v>-1098.6054733235915</v>
      </c>
    </row>
    <row r="152" spans="6:7" ht="11.25" hidden="1" outlineLevel="1">
      <c r="F152" s="52">
        <f t="shared" si="6"/>
        <v>7.799999999999988</v>
      </c>
      <c r="G152" s="49">
        <f t="shared" si="7"/>
        <v>-1032.8230653643952</v>
      </c>
    </row>
    <row r="153" spans="6:7" ht="11.25" hidden="1" outlineLevel="1">
      <c r="F153" s="52">
        <f t="shared" si="6"/>
        <v>7.899999999999988</v>
      </c>
      <c r="G153" s="49">
        <f t="shared" si="7"/>
        <v>-968.418469464622</v>
      </c>
    </row>
    <row r="154" spans="6:7" ht="11.25" hidden="1" outlineLevel="1">
      <c r="F154" s="52">
        <f t="shared" si="6"/>
        <v>7.999999999999988</v>
      </c>
      <c r="G154" s="49">
        <f t="shared" si="7"/>
        <v>-905.3497942386908</v>
      </c>
    </row>
    <row r="155" spans="6:7" ht="11.25" hidden="1" outlineLevel="1">
      <c r="F155" s="52">
        <f t="shared" si="6"/>
        <v>8.099999999999987</v>
      </c>
      <c r="G155" s="49">
        <f t="shared" si="7"/>
        <v>-843.5767830768516</v>
      </c>
    </row>
    <row r="156" spans="6:7" ht="11.25" hidden="1" outlineLevel="1">
      <c r="F156" s="52">
        <f t="shared" si="6"/>
        <v>8.199999999999987</v>
      </c>
      <c r="G156" s="49">
        <f t="shared" si="7"/>
        <v>-783.0607380619789</v>
      </c>
    </row>
    <row r="157" spans="6:7" ht="11.25" hidden="1" outlineLevel="1">
      <c r="F157" s="52">
        <f t="shared" si="6"/>
        <v>8.299999999999986</v>
      </c>
      <c r="G157" s="49">
        <f t="shared" si="7"/>
        <v>-723.7644478757643</v>
      </c>
    </row>
    <row r="158" spans="6:7" ht="11.25" hidden="1" outlineLevel="1">
      <c r="F158" s="52">
        <f t="shared" si="6"/>
        <v>8.399999999999986</v>
      </c>
      <c r="G158" s="49">
        <f t="shared" si="7"/>
        <v>-665.6521194725722</v>
      </c>
    </row>
    <row r="159" spans="6:7" ht="11.25" hidden="1" outlineLevel="1">
      <c r="F159" s="52">
        <f t="shared" si="6"/>
        <v>8.499999999999986</v>
      </c>
      <c r="G159" s="49">
        <f t="shared" si="7"/>
        <v>-608.6893133109862</v>
      </c>
    </row>
    <row r="160" spans="6:7" ht="11.25" hidden="1" outlineLevel="1">
      <c r="F160" s="52">
        <f t="shared" si="6"/>
        <v>8.599999999999985</v>
      </c>
      <c r="G160" s="49">
        <f t="shared" si="7"/>
        <v>-552.8428819444523</v>
      </c>
    </row>
    <row r="161" spans="6:7" ht="11.25" hidden="1" outlineLevel="1">
      <c r="F161" s="52">
        <f t="shared" si="6"/>
        <v>8.699999999999985</v>
      </c>
      <c r="G161" s="49">
        <f t="shared" si="7"/>
        <v>-498.08091178330807</v>
      </c>
    </row>
    <row r="162" spans="6:7" ht="11.25" hidden="1" outlineLevel="1">
      <c r="F162" s="52">
        <f t="shared" si="6"/>
        <v>8.799999999999985</v>
      </c>
      <c r="G162" s="49">
        <f t="shared" si="7"/>
        <v>-444.3726678509888</v>
      </c>
    </row>
    <row r="163" spans="6:7" ht="11.25" hidden="1" outlineLevel="1">
      <c r="F163" s="52">
        <f>N(F162)+0.1</f>
        <v>8.899999999999984</v>
      </c>
      <c r="G163" s="49">
        <f>XNPV($F163,$G$14:$G$17,$F$14:$F$17)</f>
        <v>-391.6885413671542</v>
      </c>
    </row>
    <row r="164" spans="6:7" ht="11.25" hidden="1" outlineLevel="1">
      <c r="F164" s="52">
        <f aca="true" t="shared" si="8" ref="F164:F170">N(F163)+0.1</f>
        <v>8.999999999999984</v>
      </c>
      <c r="G164" s="49">
        <f aca="true" t="shared" si="9" ref="G164:G170">XNPV($F164,$G$14:$G$17,$F$14:$F$17)</f>
        <v>-340.00000000000847</v>
      </c>
    </row>
    <row r="165" spans="6:7" ht="11.25" hidden="1" outlineLevel="1">
      <c r="F165" s="52">
        <f t="shared" si="8"/>
        <v>9.099999999999984</v>
      </c>
      <c r="G165" s="49">
        <f t="shared" si="9"/>
        <v>-289.2795406391027</v>
      </c>
    </row>
    <row r="166" spans="6:7" ht="11.25" hidden="1" outlineLevel="1">
      <c r="F166" s="52">
        <f t="shared" si="8"/>
        <v>9.199999999999983</v>
      </c>
      <c r="G166" s="49">
        <f t="shared" si="9"/>
        <v>-239.50064454848518</v>
      </c>
    </row>
    <row r="167" spans="6:7" ht="11.25" hidden="1" outlineLevel="1">
      <c r="F167" s="52">
        <f t="shared" si="8"/>
        <v>9.299999999999983</v>
      </c>
      <c r="G167" s="49">
        <f t="shared" si="9"/>
        <v>-190.63773476816164</v>
      </c>
    </row>
    <row r="168" spans="6:7" ht="11.25" hidden="1" outlineLevel="1">
      <c r="F168" s="52">
        <f t="shared" si="8"/>
        <v>9.399999999999983</v>
      </c>
      <c r="G168" s="49">
        <f t="shared" si="9"/>
        <v>-142.6661356395166</v>
      </c>
    </row>
    <row r="169" spans="6:7" ht="11.25" hidden="1" outlineLevel="1">
      <c r="F169" s="52">
        <f t="shared" si="8"/>
        <v>9.499999999999982</v>
      </c>
      <c r="G169" s="49">
        <f t="shared" si="9"/>
        <v>-95.5620343375526</v>
      </c>
    </row>
    <row r="170" spans="6:7" ht="11.25" hidden="1" outlineLevel="1">
      <c r="F170" s="52">
        <f t="shared" si="8"/>
        <v>9.599999999999982</v>
      </c>
      <c r="G170" s="49">
        <f t="shared" si="9"/>
        <v>-49.302444299665076</v>
      </c>
    </row>
    <row r="171" spans="6:7" ht="11.25" hidden="1" outlineLevel="1">
      <c r="F171" s="52">
        <f>N(F170)+0.1</f>
        <v>9.699999999999982</v>
      </c>
      <c r="G171" s="49">
        <f>XNPV($F171,$G$14:$G$17,$F$14:$F$17)</f>
        <v>-3.865170447086129</v>
      </c>
    </row>
    <row r="172" spans="6:7" ht="11.25" hidden="1" outlineLevel="1">
      <c r="F172" s="52">
        <f>N(F171)+0.1</f>
        <v>9.799999999999981</v>
      </c>
      <c r="G172" s="49">
        <f>XNPV($F172,$G$14:$G$17,$F$14:$F$17)</f>
        <v>40.77122389878782</v>
      </c>
    </row>
    <row r="173" spans="6:7" ht="11.25" hidden="1" outlineLevel="1">
      <c r="F173" s="52">
        <f>N(F172)+0.1</f>
        <v>9.89999999999998</v>
      </c>
      <c r="G173" s="49">
        <f>XNPV($F173,$G$14:$G$17,$F$14:$F$17)</f>
        <v>84.62744849728372</v>
      </c>
    </row>
    <row r="174" spans="6:7" ht="11.25" hidden="1" outlineLevel="1">
      <c r="F174" s="52">
        <f>N(F173)+0.1</f>
        <v>9.99999999999998</v>
      </c>
      <c r="G174" s="49">
        <f>XNPV($F174,$G$14:$G$17,$F$14:$F$17)</f>
        <v>127.72351615325965</v>
      </c>
    </row>
    <row r="175" ht="11.25" collapsed="1"/>
  </sheetData>
  <sheetProtection/>
  <mergeCells count="1">
    <mergeCell ref="B3:F3"/>
  </mergeCells>
  <hyperlinks>
    <hyperlink ref="B3" location="HL_Home" tooltip="Go to Table of Contents" display="HL_Home"/>
    <hyperlink ref="A4" location="$B$5" tooltip="Go to Top of Sheet" display="$B$5"/>
    <hyperlink ref="B4" location="'Care_With_Dates_BA'!A1" tooltip="Go to Previous Sheet" display="'Care_With_Dates_BA'!A1"/>
    <hyperlink ref="C4" location="'Positive_Numbers_BA'!A1" tooltip="Go to Next Sheet" display="'Positive_Numbers_BA'!A1"/>
  </hyperlinks>
  <printOptions/>
  <pageMargins left="0.3937007874015748" right="0.3937007874015748" top="0.5905511811023623" bottom="0.984251968503937" header="0" footer="0.31496062992125984"/>
  <pageSetup horizontalDpi="600" verticalDpi="600" orientation="portrait" paperSize="9" scale="64" r:id="rId2"/>
  <headerFooter>
    <oddFooter>&amp;L&amp;"Arial,Bold"&amp;7&amp;F
&amp;A
Printed: &amp;T on &amp;D&amp;C&amp;"Arial,Bold"&amp;10Page &amp;P of &amp;N</oddFooter>
  </headerFooter>
  <drawing r:id="rId1"/>
</worksheet>
</file>

<file path=xl/worksheets/sheet9.xml><?xml version="1.0" encoding="utf-8"?>
<worksheet xmlns="http://schemas.openxmlformats.org/spreadsheetml/2006/main" xmlns:r="http://schemas.openxmlformats.org/officeDocument/2006/relationships">
  <dimension ref="A1:H40"/>
  <sheetViews>
    <sheetView showGridLines="0" zoomScalePageLayoutView="0" workbookViewId="0" topLeftCell="A1">
      <selection activeCell="A1" sqref="A1"/>
    </sheetView>
  </sheetViews>
  <sheetFormatPr defaultColWidth="10.83203125" defaultRowHeight="11.25"/>
  <cols>
    <col min="1" max="5" width="3.83203125" style="11" customWidth="1"/>
    <col min="6" max="6" width="19.16015625" style="11" customWidth="1"/>
    <col min="7" max="7" width="12.16015625" style="11" bestFit="1" customWidth="1"/>
    <col min="8" max="8" width="18" style="11" bestFit="1" customWidth="1"/>
    <col min="9" max="10" width="10.83203125" style="11" customWidth="1"/>
    <col min="11" max="11" width="13.66015625" style="11" bestFit="1" customWidth="1"/>
    <col min="12" max="16384" width="10.83203125" style="11" customWidth="1"/>
  </cols>
  <sheetData>
    <row r="1" spans="1:2" ht="18">
      <c r="A1" s="32" t="s">
        <v>20</v>
      </c>
      <c r="B1" s="13" t="s">
        <v>85</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Cashflows starting with a positive inflow</v>
      </c>
    </row>
    <row r="9" ht="12">
      <c r="C9" s="36" t="s">
        <v>32</v>
      </c>
    </row>
    <row r="11" spans="6:7" ht="12" thickBot="1">
      <c r="F11" s="40" t="str">
        <f>Unreliable_XNPV_Check_BA!F11</f>
        <v>Days in Year</v>
      </c>
      <c r="G11" s="11">
        <f>Unreliable_XNPV_Check_BA!G11</f>
        <v>365</v>
      </c>
    </row>
    <row r="12" spans="6:7" ht="12" thickBot="1">
      <c r="F12" s="40" t="s">
        <v>49</v>
      </c>
      <c r="G12" s="53">
        <v>-1E-06</v>
      </c>
    </row>
    <row r="14" ht="11.25">
      <c r="F14" s="50" t="s">
        <v>43</v>
      </c>
    </row>
    <row r="15" spans="6:7" ht="11.25">
      <c r="F15" s="45">
        <f ca="1">DATE(YEAR(TODAY())+1+IF(MOD(YEAR(TODAY()),Leap_Year_Divisor)=Leap_Year_Divisor-1,1,0),1,1)</f>
        <v>41275</v>
      </c>
      <c r="G15" s="49">
        <f>Value_Not_Right_BA!G14</f>
        <v>5000</v>
      </c>
    </row>
    <row r="16" spans="6:7" ht="11.25">
      <c r="F16" s="46">
        <f>F15+$G$11</f>
        <v>41640</v>
      </c>
      <c r="G16" s="49">
        <f>Value_Not_Right_BA!G15</f>
        <v>-55000</v>
      </c>
    </row>
    <row r="17" spans="6:7" ht="11.25">
      <c r="F17" s="46">
        <f>F16+$G$11</f>
        <v>42005</v>
      </c>
      <c r="G17" s="49">
        <f>Value_Not_Right_BA!G16</f>
        <v>10000</v>
      </c>
    </row>
    <row r="18" spans="6:7" ht="11.25">
      <c r="F18" s="46">
        <f>F17+$G$11</f>
        <v>42370</v>
      </c>
      <c r="G18" s="49">
        <f>Value_Not_Right_BA!G17</f>
        <v>60000</v>
      </c>
    </row>
    <row r="19" ht="11.25"/>
    <row r="20" spans="6:7" ht="11.25">
      <c r="F20" s="11" t="s">
        <v>26</v>
      </c>
      <c r="G20" s="11">
        <f>XIRR(G15:G18,F15:F18)</f>
        <v>2.9802322387695314E-09</v>
      </c>
    </row>
    <row r="21" spans="6:7" ht="11.25">
      <c r="F21" s="11" t="str">
        <f>"XNPV using "&amp;F20</f>
        <v>XNPV using XIRR</v>
      </c>
      <c r="G21" s="49">
        <f>XNPV(G20,G15:G18,F15:F18)</f>
        <v>19999.999567866325</v>
      </c>
    </row>
    <row r="22" ht="11.25">
      <c r="G22" s="49"/>
    </row>
    <row r="23" spans="6:7" ht="11.25">
      <c r="F23" s="11" t="s">
        <v>27</v>
      </c>
      <c r="G23" s="48">
        <f>IRR(G15:G18)</f>
        <v>0.2142677537534971</v>
      </c>
    </row>
    <row r="24" spans="6:7" ht="11.25">
      <c r="F24" s="11" t="str">
        <f>"XNPV using "&amp;F23</f>
        <v>XNPV using IRR</v>
      </c>
      <c r="G24" s="49">
        <f>XNPV(G23,G15:G18,F15:F18)</f>
        <v>5.238689482212067E-10</v>
      </c>
    </row>
    <row r="27" ht="12">
      <c r="C27" s="36" t="s">
        <v>50</v>
      </c>
    </row>
    <row r="29" spans="6:7" ht="11.25">
      <c r="F29" s="40" t="str">
        <f>F14</f>
        <v>Dates</v>
      </c>
      <c r="G29" s="49"/>
    </row>
    <row r="30" spans="6:7" ht="11.25">
      <c r="F30" s="45">
        <f>F31-G11</f>
        <v>40910</v>
      </c>
      <c r="G30" s="49">
        <f>Very_small_neg_no</f>
        <v>-1E-06</v>
      </c>
    </row>
    <row r="31" spans="6:7" ht="11.25">
      <c r="F31" s="45">
        <f aca="true" t="shared" si="0" ref="F31:G34">F15</f>
        <v>41275</v>
      </c>
      <c r="G31" s="49">
        <f t="shared" si="0"/>
        <v>5000</v>
      </c>
    </row>
    <row r="32" spans="6:7" ht="11.25">
      <c r="F32" s="46">
        <f t="shared" si="0"/>
        <v>41640</v>
      </c>
      <c r="G32" s="49">
        <f t="shared" si="0"/>
        <v>-55000</v>
      </c>
    </row>
    <row r="33" spans="6:7" ht="11.25">
      <c r="F33" s="46">
        <f t="shared" si="0"/>
        <v>42005</v>
      </c>
      <c r="G33" s="49">
        <f t="shared" si="0"/>
        <v>10000</v>
      </c>
    </row>
    <row r="34" spans="6:7" ht="11.25">
      <c r="F34" s="46">
        <f t="shared" si="0"/>
        <v>42370</v>
      </c>
      <c r="G34" s="49">
        <f t="shared" si="0"/>
        <v>60000</v>
      </c>
    </row>
    <row r="35" ht="11.25"/>
    <row r="36" spans="6:7" ht="11.25">
      <c r="F36" s="11" t="s">
        <v>26</v>
      </c>
      <c r="G36" s="48">
        <f>XIRR(G30:G34,F30:F34)</f>
        <v>0.21426774859428405</v>
      </c>
    </row>
    <row r="37" spans="6:7" ht="11.25">
      <c r="F37" s="11" t="str">
        <f>"XNPV using "&amp;F36</f>
        <v>XNPV using XIRR</v>
      </c>
      <c r="G37" s="49">
        <f>XNPV(G36,G31:G34,F31:F34)</f>
        <v>0.00029235109832370654</v>
      </c>
    </row>
    <row r="38" ht="11.25">
      <c r="G38" s="49"/>
    </row>
    <row r="39" spans="6:8" ht="11.25">
      <c r="F39" s="11" t="s">
        <v>27</v>
      </c>
      <c r="G39" s="48">
        <f>IRR(G31:G34)</f>
        <v>0.2142677537534971</v>
      </c>
      <c r="H39" s="51"/>
    </row>
    <row r="40" spans="6:7" ht="11.25">
      <c r="F40" s="11" t="str">
        <f>"XNPV using "&amp;F39</f>
        <v>XNPV using IRR</v>
      </c>
      <c r="G40" s="49">
        <f>XNPV(G39,G31:G34,F31:F34)</f>
        <v>5.238689482212067E-10</v>
      </c>
    </row>
  </sheetData>
  <sheetProtection/>
  <mergeCells count="1">
    <mergeCell ref="B3:F3"/>
  </mergeCells>
  <hyperlinks>
    <hyperlink ref="B3" location="HL_Home" tooltip="Go to Table of Contents" display="HL_Home"/>
    <hyperlink ref="A4" location="$B$5" tooltip="Go to Top of Sheet" display="$B$5"/>
    <hyperlink ref="B4" location="'Value_Not_Right_BA'!A1" tooltip="Go to Previous Sheet" display="'Value_Not_Right_BA'!A1"/>
    <hyperlink ref="C4" location="'Considering_Order_BA'!A1" tooltip="Go to Next Sheet" display="'Considering_Order_BA'!A1"/>
  </hyperlinks>
  <printOptions/>
  <pageMargins left="0.3937007874015748" right="0.3937007874015748" top="0.5905511811023623" bottom="0.984251968503937" header="0" footer="0.31496062992125984"/>
  <pageSetup horizontalDpi="600" verticalDpi="600" orientation="portrait" paperSize="9" scale="64" r:id="rId2"/>
  <headerFooter>
    <oddFooter>&amp;L&amp;"Arial,Bold"&amp;7&amp;F
&amp;A
Printed: &amp;T on &amp;D&amp;C&amp;"Arial,Bold"&amp;10Page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SumProduct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Liam Bastick</dc:creator>
  <cp:keywords/>
  <dc:description/>
  <cp:lastModifiedBy>Dr Liam Bastick</cp:lastModifiedBy>
  <cp:lastPrinted>2011-07-11T21:52:55Z</cp:lastPrinted>
  <dcterms:created xsi:type="dcterms:W3CDTF">2011-02-27T04:26:20Z</dcterms:created>
  <dcterms:modified xsi:type="dcterms:W3CDTF">2011-08-03T03:50:39Z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